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puts" sheetId="1" state="visible" r:id="rId3"/>
    <sheet name="Monthly" sheetId="2" state="visible" r:id="rId4"/>
    <sheet name="Annual" sheetId="3" state="visible" r:id="rId5"/>
    <sheet name="Break-even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<sst xmlns="http://schemas.openxmlformats.org/spreadsheetml/2006/main" count="93" uniqueCount="82">
  <si>
    <t xml:space="preserve">SAMPLE - fictional business - all figures are assumptions for demonstration</t>
  </si>
  <si>
    <t xml:space="preserve">Input</t>
  </si>
  <si>
    <t xml:space="preserve">Value</t>
  </si>
  <si>
    <t xml:space="preserve">Loan amount</t>
  </si>
  <si>
    <t xml:space="preserve">Loan interest rate (annual)</t>
  </si>
  <si>
    <t xml:space="preserve">Loan term (years)</t>
  </si>
  <si>
    <t xml:space="preserve">Owner equity</t>
  </si>
  <si>
    <t xml:space="preserve">Average ticket, year 1 ($)</t>
  </si>
  <si>
    <t xml:space="preserve">Annual price increase</t>
  </si>
  <si>
    <t xml:space="preserve">Max grooms/day (owner van)</t>
  </si>
  <si>
    <t xml:space="preserve">Working days per month</t>
  </si>
  <si>
    <t xml:space="preserve">Utilization year 2</t>
  </si>
  <si>
    <t xml:space="preserve">Utilization year 3</t>
  </si>
  <si>
    <t xml:space="preserve">Second groomer start month</t>
  </si>
  <si>
    <t xml:space="preserve">Second groomer wage ($/mo, incl. payroll tax)</t>
  </si>
  <si>
    <t xml:space="preserve">Second groomer grooms/day</t>
  </si>
  <si>
    <t xml:space="preserve">Second van lease ($/mo, from groomer 2 start)</t>
  </si>
  <si>
    <t xml:space="preserve">Owner draw ($/mo)</t>
  </si>
  <si>
    <t xml:space="preserve">Supplies (% of revenue)</t>
  </si>
  <si>
    <t xml:space="preserve">Card fees (% of revenue)</t>
  </si>
  <si>
    <t xml:space="preserve">Fuel + generator ($/mo)</t>
  </si>
  <si>
    <t xml:space="preserve">Insurance ($/mo)</t>
  </si>
  <si>
    <t xml:space="preserve">Maintenance ($/mo)</t>
  </si>
  <si>
    <t xml:space="preserve">Booking software ($/mo)</t>
  </si>
  <si>
    <t xml:space="preserve">Marketing months 1-6 ($/mo)</t>
  </si>
  <si>
    <t xml:space="preserve">Marketing after month 6 ($/mo)</t>
  </si>
  <si>
    <t xml:space="preserve">Phone ($/mo)</t>
  </si>
  <si>
    <t xml:space="preserve">Accounting ($/mo)</t>
  </si>
  <si>
    <t xml:space="preserve">Licences &amp; permits ($/mo)</t>
  </si>
  <si>
    <t xml:space="preserve">Depreciable assets (van + equipment)</t>
  </si>
  <si>
    <t xml:space="preserve">Depreciation life (years)</t>
  </si>
  <si>
    <t xml:space="preserve">Utilization ramp, months 1-12</t>
  </si>
  <si>
    <t xml:space="preserve">Month</t>
  </si>
  <si>
    <t xml:space="preserve">Utilization</t>
  </si>
  <si>
    <t xml:space="preserve">Sources &amp; Uses</t>
  </si>
  <si>
    <t xml:space="preserve">Grooming van (built-out)</t>
  </si>
  <si>
    <t xml:space="preserve">Grooming equipment &amp; tools</t>
  </si>
  <si>
    <t xml:space="preserve">Licences, deposits, branding, website</t>
  </si>
  <si>
    <t xml:space="preserve">Working capital reserve</t>
  </si>
  <si>
    <t xml:space="preserve">Total uses</t>
  </si>
  <si>
    <t xml:space="preserve">Sources: SBA 7(a) loan</t>
  </si>
  <si>
    <t xml:space="preserve">Sources: owner equity</t>
  </si>
  <si>
    <t xml:space="preserve">Year</t>
  </si>
  <si>
    <t xml:space="preserve">Avg ticket</t>
  </si>
  <si>
    <t xml:space="preserve">Owner grooms</t>
  </si>
  <si>
    <t xml:space="preserve">Groomer 2 grooms</t>
  </si>
  <si>
    <t xml:space="preserve">Revenue</t>
  </si>
  <si>
    <t xml:space="preserve">Supplies</t>
  </si>
  <si>
    <t xml:space="preserve">Card fees</t>
  </si>
  <si>
    <t xml:space="preserve">Gross profit</t>
  </si>
  <si>
    <t xml:space="preserve">Groomer 2 wages</t>
  </si>
  <si>
    <t xml:space="preserve">Owner draw</t>
  </si>
  <si>
    <t xml:space="preserve">Fuel+gen</t>
  </si>
  <si>
    <t xml:space="preserve">Insurance</t>
  </si>
  <si>
    <t xml:space="preserve">Maintenance</t>
  </si>
  <si>
    <t xml:space="preserve">Software</t>
  </si>
  <si>
    <t xml:space="preserve">Marketing</t>
  </si>
  <si>
    <t xml:space="preserve">Phone</t>
  </si>
  <si>
    <t xml:space="preserve">Accounting</t>
  </si>
  <si>
    <t xml:space="preserve">Van 2 lease</t>
  </si>
  <si>
    <t xml:space="preserve">Licences</t>
  </si>
  <si>
    <t xml:space="preserve">Total opex</t>
  </si>
  <si>
    <t xml:space="preserve">EBITDA</t>
  </si>
  <si>
    <t xml:space="preserve">Depreciation</t>
  </si>
  <si>
    <t xml:space="preserve">Interest</t>
  </si>
  <si>
    <t xml:space="preserve">Net income (pre-tax)</t>
  </si>
  <si>
    <t xml:space="preserve">Principal</t>
  </si>
  <si>
    <t xml:space="preserve">Cash flow after debt service</t>
  </si>
  <si>
    <t xml:space="preserve">Cumulative cash (incl. reserve)</t>
  </si>
  <si>
    <t xml:space="preserve">Metric</t>
  </si>
  <si>
    <t xml:space="preserve">Year 1</t>
  </si>
  <si>
    <t xml:space="preserve">Year 2</t>
  </si>
  <si>
    <t xml:space="preserve">Year 3</t>
  </si>
  <si>
    <t xml:space="preserve">Annual debt service</t>
  </si>
  <si>
    <t xml:space="preserve">DSCR (EBITDA / debt service)</t>
  </si>
  <si>
    <t xml:space="preserve">Ending cash (incl. reserve)</t>
  </si>
  <si>
    <t xml:space="preserve">Monthly fixed costs at year-1 run-rate (owner draw + fixed opex + debt service)</t>
  </si>
  <si>
    <t xml:space="preserve">Fixed costs/month</t>
  </si>
  <si>
    <t xml:space="preserve">Contribution per groom (year 1)</t>
  </si>
  <si>
    <t xml:space="preserve">Break-even grooms/month</t>
  </si>
  <si>
    <t xml:space="preserve">Break-even grooms/working day</t>
  </si>
  <si>
    <t xml:space="preserve">Break-even utilization of owner van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</si>
</sst>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%"/>
    <numFmt numFmtId="166" formatCode="#,##0"/>
    <numFmt numFmtId="167" formatCode="0.00"/>
    <numFmt numFmtId="168" formatCode="[$$-409]#,##0.00;[RED]\-[$$-409]#,##0.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B42318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1F4E9E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6D5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D5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42318"/>
      <rgbColor rgb="FF993366"/>
      <rgbColor rgb="FF1F4E9E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6"/>
  </cols>
  <sheetData>
    <row r="1" customFormat="false" ht="1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  <c r="B3" s="2" t="s">
        <v>2</v>
      </c>
    </row>
    <row r="4" customFormat="false" ht="15" hidden="false" customHeight="false" outlineLevel="0" collapsed="false">
      <c r="A4" s="0" t="s">
        <v>3</v>
      </c>
      <c r="B4" s="3" t="n">
        <v>85000</v>
      </c>
    </row>
    <row r="5" customFormat="false" ht="15" hidden="false" customHeight="false" outlineLevel="0" collapsed="false">
      <c r="A5" s="0" t="s">
        <v>4</v>
      </c>
      <c r="B5" s="3" t="n">
        <v>0.105</v>
      </c>
    </row>
    <row r="6" customFormat="false" ht="15" hidden="false" customHeight="false" outlineLevel="0" collapsed="false">
      <c r="A6" s="0" t="s">
        <v>5</v>
      </c>
      <c r="B6" s="3" t="n">
        <v>10</v>
      </c>
    </row>
    <row r="7" customFormat="false" ht="15" hidden="false" customHeight="false" outlineLevel="0" collapsed="false">
      <c r="A7" s="0" t="s">
        <v>6</v>
      </c>
      <c r="B7" s="3" t="n">
        <v>15000</v>
      </c>
    </row>
    <row r="8" customFormat="false" ht="15" hidden="false" customHeight="false" outlineLevel="0" collapsed="false">
      <c r="A8" s="0" t="s">
        <v>7</v>
      </c>
      <c r="B8" s="3" t="n">
        <v>95</v>
      </c>
    </row>
    <row r="9" customFormat="false" ht="15" hidden="false" customHeight="false" outlineLevel="0" collapsed="false">
      <c r="A9" s="0" t="s">
        <v>8</v>
      </c>
      <c r="B9" s="3" t="n">
        <v>0.04</v>
      </c>
    </row>
    <row r="10" customFormat="false" ht="15" hidden="false" customHeight="false" outlineLevel="0" collapsed="false">
      <c r="A10" s="0" t="s">
        <v>9</v>
      </c>
      <c r="B10" s="3" t="n">
        <v>6</v>
      </c>
    </row>
    <row r="11" customFormat="false" ht="15" hidden="false" customHeight="false" outlineLevel="0" collapsed="false">
      <c r="A11" s="0" t="s">
        <v>10</v>
      </c>
      <c r="B11" s="3" t="n">
        <v>22</v>
      </c>
    </row>
    <row r="12" customFormat="false" ht="15" hidden="false" customHeight="false" outlineLevel="0" collapsed="false">
      <c r="A12" s="0" t="s">
        <v>11</v>
      </c>
      <c r="B12" s="3" t="n">
        <v>0.88</v>
      </c>
    </row>
    <row r="13" customFormat="false" ht="15" hidden="false" customHeight="false" outlineLevel="0" collapsed="false">
      <c r="A13" s="0" t="s">
        <v>12</v>
      </c>
      <c r="B13" s="3" t="n">
        <v>0.9</v>
      </c>
    </row>
    <row r="14" customFormat="false" ht="15" hidden="false" customHeight="false" outlineLevel="0" collapsed="false">
      <c r="A14" s="0" t="s">
        <v>13</v>
      </c>
      <c r="B14" s="3" t="n">
        <v>25</v>
      </c>
    </row>
    <row r="15" customFormat="false" ht="15" hidden="false" customHeight="false" outlineLevel="0" collapsed="false">
      <c r="A15" s="0" t="s">
        <v>14</v>
      </c>
      <c r="B15" s="3" t="n">
        <v>3200</v>
      </c>
    </row>
    <row r="16" customFormat="false" ht="15" hidden="false" customHeight="false" outlineLevel="0" collapsed="false">
      <c r="A16" s="0" t="s">
        <v>15</v>
      </c>
      <c r="B16" s="3" t="n">
        <v>4</v>
      </c>
    </row>
    <row r="17" customFormat="false" ht="15" hidden="false" customHeight="false" outlineLevel="0" collapsed="false">
      <c r="A17" s="0" t="s">
        <v>16</v>
      </c>
      <c r="B17" s="3" t="n">
        <v>1400</v>
      </c>
    </row>
    <row r="18" customFormat="false" ht="15" hidden="false" customHeight="false" outlineLevel="0" collapsed="false">
      <c r="A18" s="0" t="s">
        <v>17</v>
      </c>
      <c r="B18" s="3" t="n">
        <v>3500</v>
      </c>
    </row>
    <row r="19" customFormat="false" ht="15" hidden="false" customHeight="false" outlineLevel="0" collapsed="false">
      <c r="A19" s="0" t="s">
        <v>18</v>
      </c>
      <c r="B19" s="3" t="n">
        <v>0.06</v>
      </c>
    </row>
    <row r="20" customFormat="false" ht="15" hidden="false" customHeight="false" outlineLevel="0" collapsed="false">
      <c r="A20" s="0" t="s">
        <v>19</v>
      </c>
      <c r="B20" s="3" t="n">
        <v>0.029</v>
      </c>
    </row>
    <row r="21" customFormat="false" ht="15" hidden="false" customHeight="false" outlineLevel="0" collapsed="false">
      <c r="A21" s="0" t="s">
        <v>20</v>
      </c>
      <c r="B21" s="3" t="n">
        <v>900</v>
      </c>
    </row>
    <row r="22" customFormat="false" ht="15" hidden="false" customHeight="false" outlineLevel="0" collapsed="false">
      <c r="A22" s="0" t="s">
        <v>21</v>
      </c>
      <c r="B22" s="3" t="n">
        <v>350</v>
      </c>
    </row>
    <row r="23" customFormat="false" ht="15" hidden="false" customHeight="false" outlineLevel="0" collapsed="false">
      <c r="A23" s="0" t="s">
        <v>22</v>
      </c>
      <c r="B23" s="3" t="n">
        <v>250</v>
      </c>
    </row>
    <row r="24" customFormat="false" ht="15" hidden="false" customHeight="false" outlineLevel="0" collapsed="false">
      <c r="A24" s="0" t="s">
        <v>23</v>
      </c>
      <c r="B24" s="3" t="n">
        <v>80</v>
      </c>
    </row>
    <row r="25" customFormat="false" ht="15" hidden="false" customHeight="false" outlineLevel="0" collapsed="false">
      <c r="A25" s="0" t="s">
        <v>24</v>
      </c>
      <c r="B25" s="3" t="n">
        <v>600</v>
      </c>
    </row>
    <row r="26" customFormat="false" ht="15" hidden="false" customHeight="false" outlineLevel="0" collapsed="false">
      <c r="A26" s="0" t="s">
        <v>25</v>
      </c>
      <c r="B26" s="3" t="n">
        <v>350</v>
      </c>
    </row>
    <row r="27" customFormat="false" ht="15" hidden="false" customHeight="false" outlineLevel="0" collapsed="false">
      <c r="A27" s="0" t="s">
        <v>26</v>
      </c>
      <c r="B27" s="3" t="n">
        <v>60</v>
      </c>
    </row>
    <row r="28" customFormat="false" ht="15" hidden="false" customHeight="false" outlineLevel="0" collapsed="false">
      <c r="A28" s="0" t="s">
        <v>27</v>
      </c>
      <c r="B28" s="3" t="n">
        <v>150</v>
      </c>
    </row>
    <row r="29" customFormat="false" ht="15" hidden="false" customHeight="false" outlineLevel="0" collapsed="false">
      <c r="A29" s="0" t="s">
        <v>28</v>
      </c>
      <c r="B29" s="3" t="n">
        <v>50</v>
      </c>
    </row>
    <row r="30" customFormat="false" ht="15" hidden="false" customHeight="false" outlineLevel="0" collapsed="false">
      <c r="A30" s="0" t="s">
        <v>29</v>
      </c>
      <c r="B30" s="3" t="n">
        <v>81000</v>
      </c>
    </row>
    <row r="31" customFormat="false" ht="15" hidden="false" customHeight="false" outlineLevel="0" collapsed="false">
      <c r="A31" s="0" t="s">
        <v>30</v>
      </c>
      <c r="B31" s="3" t="n">
        <v>5</v>
      </c>
    </row>
    <row r="33" customFormat="false" ht="15" hidden="false" customHeight="false" outlineLevel="0" collapsed="false">
      <c r="A33" s="2" t="s">
        <v>31</v>
      </c>
    </row>
    <row r="34" customFormat="false" ht="15" hidden="false" customHeight="false" outlineLevel="0" collapsed="false">
      <c r="A34" s="0" t="s">
        <v>32</v>
      </c>
      <c r="B34" s="0" t="n">
        <v>1</v>
      </c>
      <c r="C34" s="0" t="n">
        <v>2</v>
      </c>
      <c r="D34" s="0" t="n">
        <v>3</v>
      </c>
      <c r="E34" s="0" t="n">
        <v>4</v>
      </c>
      <c r="F34" s="0" t="n">
        <v>5</v>
      </c>
      <c r="G34" s="0" t="n">
        <v>6</v>
      </c>
      <c r="H34" s="0" t="n">
        <v>7</v>
      </c>
      <c r="I34" s="0" t="n">
        <v>8</v>
      </c>
      <c r="J34" s="0" t="n">
        <v>9</v>
      </c>
      <c r="K34" s="0" t="n">
        <v>10</v>
      </c>
      <c r="L34" s="0" t="n">
        <v>11</v>
      </c>
      <c r="M34" s="0" t="n">
        <v>12</v>
      </c>
    </row>
    <row r="35" customFormat="false" ht="15" hidden="false" customHeight="false" outlineLevel="0" collapsed="false">
      <c r="A35" s="0" t="s">
        <v>33</v>
      </c>
      <c r="B35" s="3" t="n">
        <v>0.35</v>
      </c>
      <c r="C35" s="3" t="n">
        <v>0.45</v>
      </c>
      <c r="D35" s="3" t="n">
        <v>0.55</v>
      </c>
      <c r="E35" s="3" t="n">
        <v>0.62</v>
      </c>
      <c r="F35" s="3" t="n">
        <v>0.68</v>
      </c>
      <c r="G35" s="3" t="n">
        <v>0.73</v>
      </c>
      <c r="H35" s="3" t="n">
        <v>0.77</v>
      </c>
      <c r="I35" s="3" t="n">
        <v>0.8</v>
      </c>
      <c r="J35" s="3" t="n">
        <v>0.83</v>
      </c>
      <c r="K35" s="3" t="n">
        <v>0.85</v>
      </c>
      <c r="L35" s="3" t="n">
        <v>0.85</v>
      </c>
      <c r="M35" s="3" t="n">
        <v>0.85</v>
      </c>
    </row>
    <row r="37" customFormat="false" ht="15" hidden="false" customHeight="false" outlineLevel="0" collapsed="false">
      <c r="A37" s="2" t="s">
        <v>34</v>
      </c>
    </row>
    <row r="38" customFormat="false" ht="15" hidden="false" customHeight="false" outlineLevel="0" collapsed="false">
      <c r="A38" s="0" t="s">
        <v>35</v>
      </c>
      <c r="B38" s="0" t="n">
        <v>72000</v>
      </c>
    </row>
    <row r="39" customFormat="false" ht="15" hidden="false" customHeight="false" outlineLevel="0" collapsed="false">
      <c r="A39" s="0" t="s">
        <v>36</v>
      </c>
      <c r="B39" s="0" t="n">
        <v>9000</v>
      </c>
    </row>
    <row r="40" customFormat="false" ht="15" hidden="false" customHeight="false" outlineLevel="0" collapsed="false">
      <c r="A40" s="0" t="s">
        <v>37</v>
      </c>
      <c r="B40" s="0" t="n">
        <v>4000</v>
      </c>
    </row>
    <row r="41" customFormat="false" ht="15" hidden="false" customHeight="false" outlineLevel="0" collapsed="false">
      <c r="A41" s="0" t="s">
        <v>38</v>
      </c>
      <c r="B41" s="0" t="n">
        <v>15000</v>
      </c>
    </row>
    <row r="42" customFormat="false" ht="15" hidden="false" customHeight="false" outlineLevel="0" collapsed="false">
      <c r="A42" s="0" t="s">
        <v>39</v>
      </c>
      <c r="B42" s="0" t="n">
        <f aca="false">SUM(B38:B41)</f>
        <v>100000</v>
      </c>
    </row>
    <row r="43" customFormat="false" ht="15" hidden="false" customHeight="false" outlineLevel="0" collapsed="false">
      <c r="A43" s="0" t="s">
        <v>40</v>
      </c>
      <c r="B43" s="0" t="n">
        <f aca="false">Inputs!$B$4</f>
        <v>85000</v>
      </c>
    </row>
    <row r="44" customFormat="false" ht="15" hidden="false" customHeight="false" outlineLevel="0" collapsed="false">
      <c r="A44" s="0" t="s">
        <v>41</v>
      </c>
      <c r="B44" s="0" t="n">
        <f aca="false">Inputs!$B$7</f>
        <v>15000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customHeight="true" zeroHeight="false" outlineLevelRow="0" outlineLevelCol="0"/>
  <sheetData>
    <row r="1" customFormat="false" ht="15" hidden="false" customHeight="false" outlineLevel="0" collapsed="false">
      <c r="A1" s="2" t="s">
        <v>32</v>
      </c>
      <c r="B1" s="2" t="s">
        <v>42</v>
      </c>
      <c r="C1" s="2" t="s">
        <v>33</v>
      </c>
      <c r="D1" s="2" t="s">
        <v>43</v>
      </c>
      <c r="E1" s="2" t="s">
        <v>44</v>
      </c>
      <c r="F1" s="2" t="s">
        <v>45</v>
      </c>
      <c r="G1" s="2" t="s">
        <v>46</v>
      </c>
      <c r="H1" s="2" t="s">
        <v>47</v>
      </c>
      <c r="I1" s="2" t="s">
        <v>48</v>
      </c>
      <c r="J1" s="2" t="s">
        <v>49</v>
      </c>
      <c r="K1" s="2" t="s">
        <v>50</v>
      </c>
      <c r="L1" s="2" t="s">
        <v>51</v>
      </c>
      <c r="M1" s="2" t="s">
        <v>52</v>
      </c>
      <c r="N1" s="2" t="s">
        <v>53</v>
      </c>
      <c r="O1" s="2" t="s">
        <v>54</v>
      </c>
      <c r="P1" s="2" t="s">
        <v>55</v>
      </c>
      <c r="Q1" s="2" t="s">
        <v>56</v>
      </c>
      <c r="R1" s="2" t="s">
        <v>57</v>
      </c>
      <c r="S1" s="2" t="s">
        <v>58</v>
      </c>
      <c r="T1" s="2" t="s">
        <v>59</v>
      </c>
      <c r="U1" s="2" t="s">
        <v>60</v>
      </c>
      <c r="V1" s="2" t="s">
        <v>61</v>
      </c>
      <c r="W1" s="2" t="s">
        <v>62</v>
      </c>
      <c r="X1" s="2" t="s">
        <v>63</v>
      </c>
      <c r="Y1" s="2" t="s">
        <v>64</v>
      </c>
      <c r="Z1" s="2" t="s">
        <v>65</v>
      </c>
      <c r="AA1" s="2" t="s">
        <v>66</v>
      </c>
      <c r="AB1" s="2" t="s">
        <v>67</v>
      </c>
      <c r="AC1" s="2" t="s">
        <v>68</v>
      </c>
    </row>
    <row r="2" customFormat="false" ht="15" hidden="false" customHeight="false" outlineLevel="0" collapsed="false">
      <c r="A2" s="0" t="n">
        <v>1</v>
      </c>
      <c r="B2" s="0" t="n">
        <f aca="false">INT((A2-1)/12)+1</f>
        <v>1</v>
      </c>
      <c r="C2" s="4" t="n">
        <f aca="false">Inputs!B$35</f>
        <v>0.35</v>
      </c>
      <c r="D2" s="5" t="n">
        <f aca="false">Inputs!$B$8*(1+Inputs!$B$9)^(B2-1)</f>
        <v>95</v>
      </c>
      <c r="E2" s="5" t="n">
        <f aca="false">Inputs!$B$10*Inputs!$B$11*C2</f>
        <v>46.2</v>
      </c>
      <c r="F2" s="5" t="n">
        <f aca="false">IF(A2&gt;=Inputs!$B$14,Inputs!$B$16*Inputs!$B$11*C2,0)</f>
        <v>0</v>
      </c>
      <c r="G2" s="5" t="n">
        <f aca="false">(E2+F2)*D2</f>
        <v>4389</v>
      </c>
      <c r="H2" s="5" t="n">
        <f aca="false">G2*Inputs!$B$19</f>
        <v>263.34</v>
      </c>
      <c r="I2" s="5" t="n">
        <f aca="false">G2*Inputs!$B$20</f>
        <v>127.281</v>
      </c>
      <c r="J2" s="5" t="n">
        <f aca="false">G2-H2-I2</f>
        <v>3998.379</v>
      </c>
      <c r="K2" s="5" t="n">
        <f aca="false">IF(A2&gt;=Inputs!$B$14,Inputs!$B$15,0)</f>
        <v>0</v>
      </c>
      <c r="L2" s="5" t="n">
        <f aca="false">Inputs!$B$18</f>
        <v>3500</v>
      </c>
      <c r="M2" s="5" t="n">
        <f aca="false">Inputs!$B$21*IF(A2&gt;=Inputs!$B$14,1.6,1)</f>
        <v>900</v>
      </c>
      <c r="N2" s="5" t="n">
        <f aca="false">Inputs!$B$22</f>
        <v>350</v>
      </c>
      <c r="O2" s="5" t="n">
        <f aca="false">Inputs!$B$23</f>
        <v>250</v>
      </c>
      <c r="P2" s="5" t="n">
        <f aca="false">Inputs!$B$24</f>
        <v>80</v>
      </c>
      <c r="Q2" s="5" t="n">
        <f aca="false">IF(A2&lt;=6,Inputs!$B$25,Inputs!$B$26)</f>
        <v>600</v>
      </c>
      <c r="R2" s="5" t="n">
        <f aca="false">Inputs!$B$27</f>
        <v>60</v>
      </c>
      <c r="S2" s="5" t="n">
        <f aca="false">Inputs!$B$28</f>
        <v>150</v>
      </c>
      <c r="T2" s="5" t="n">
        <f aca="false">IF(A2&gt;=Inputs!$B$14,Inputs!$B$17,0)</f>
        <v>0</v>
      </c>
      <c r="U2" s="5" t="n">
        <f aca="false">Inputs!$B$29</f>
        <v>50</v>
      </c>
      <c r="V2" s="5" t="n">
        <f aca="false">SUM(K2:U2)</f>
        <v>5940</v>
      </c>
      <c r="W2" s="5" t="n">
        <f aca="false">J2-V2</f>
        <v>-1941.621</v>
      </c>
      <c r="X2" s="5" t="n">
        <f aca="false">Inputs!$B$30/(Inputs!$B$31*12)</f>
        <v>1350</v>
      </c>
      <c r="Y2" s="5" t="n">
        <f aca="false">IPMT(Inputs!$B$5/12,A2,Inputs!$B$6*12,-Inputs!$B$4)</f>
        <v>743.75</v>
      </c>
      <c r="Z2" s="5" t="n">
        <f aca="false">W2-X2-Y2</f>
        <v>-4035.371</v>
      </c>
      <c r="AA2" s="5" t="n">
        <f aca="false">PPMT(Inputs!$B$5/12,A2,Inputs!$B$6*12,-Inputs!$B$4)</f>
        <v>403.197472592149</v>
      </c>
      <c r="AB2" s="5" t="n">
        <f aca="false">W2-Y2-AA2</f>
        <v>-3088.56847259215</v>
      </c>
      <c r="AC2" s="5" t="n">
        <f aca="false">15000+AB2</f>
        <v>11911.4315274079</v>
      </c>
    </row>
    <row r="3" customFormat="false" ht="15" hidden="false" customHeight="false" outlineLevel="0" collapsed="false">
      <c r="A3" s="0" t="n">
        <v>2</v>
      </c>
      <c r="B3" s="0" t="n">
        <f aca="false">INT((A3-1)/12)+1</f>
        <v>1</v>
      </c>
      <c r="C3" s="4" t="n">
        <f aca="false">Inputs!C$35</f>
        <v>0.45</v>
      </c>
      <c r="D3" s="5" t="n">
        <f aca="false">Inputs!$B$8*(1+Inputs!$B$9)^(B3-1)</f>
        <v>95</v>
      </c>
      <c r="E3" s="5" t="n">
        <f aca="false">Inputs!$B$10*Inputs!$B$11*C3</f>
        <v>59.4</v>
      </c>
      <c r="F3" s="5" t="n">
        <f aca="false">IF(A3&gt;=Inputs!$B$14,Inputs!$B$16*Inputs!$B$11*C3,0)</f>
        <v>0</v>
      </c>
      <c r="G3" s="5" t="n">
        <f aca="false">(E3+F3)*D3</f>
        <v>5643</v>
      </c>
      <c r="H3" s="5" t="n">
        <f aca="false">G3*Inputs!$B$19</f>
        <v>338.58</v>
      </c>
      <c r="I3" s="5" t="n">
        <f aca="false">G3*Inputs!$B$20</f>
        <v>163.647</v>
      </c>
      <c r="J3" s="5" t="n">
        <f aca="false">G3-H3-I3</f>
        <v>5140.773</v>
      </c>
      <c r="K3" s="5" t="n">
        <f aca="false">IF(A3&gt;=Inputs!$B$14,Inputs!$B$15,0)</f>
        <v>0</v>
      </c>
      <c r="L3" s="5" t="n">
        <f aca="false">Inputs!$B$18</f>
        <v>3500</v>
      </c>
      <c r="M3" s="5" t="n">
        <f aca="false">Inputs!$B$21*IF(A3&gt;=Inputs!$B$14,1.6,1)</f>
        <v>900</v>
      </c>
      <c r="N3" s="5" t="n">
        <f aca="false">Inputs!$B$22</f>
        <v>350</v>
      </c>
      <c r="O3" s="5" t="n">
        <f aca="false">Inputs!$B$23</f>
        <v>250</v>
      </c>
      <c r="P3" s="5" t="n">
        <f aca="false">Inputs!$B$24</f>
        <v>80</v>
      </c>
      <c r="Q3" s="5" t="n">
        <f aca="false">IF(A3&lt;=6,Inputs!$B$25,Inputs!$B$26)</f>
        <v>600</v>
      </c>
      <c r="R3" s="5" t="n">
        <f aca="false">Inputs!$B$27</f>
        <v>60</v>
      </c>
      <c r="S3" s="5" t="n">
        <f aca="false">Inputs!$B$28</f>
        <v>150</v>
      </c>
      <c r="T3" s="5" t="n">
        <f aca="false">IF(A3&gt;=Inputs!$B$14,Inputs!$B$17,0)</f>
        <v>0</v>
      </c>
      <c r="U3" s="5" t="n">
        <f aca="false">Inputs!$B$29</f>
        <v>50</v>
      </c>
      <c r="V3" s="5" t="n">
        <f aca="false">SUM(K3:U3)</f>
        <v>5940</v>
      </c>
      <c r="W3" s="5" t="n">
        <f aca="false">J3-V3</f>
        <v>-799.227</v>
      </c>
      <c r="X3" s="5" t="n">
        <f aca="false">Inputs!$B$30/(Inputs!$B$31*12)</f>
        <v>1350</v>
      </c>
      <c r="Y3" s="5" t="n">
        <f aca="false">IPMT(Inputs!$B$5/12,A3,Inputs!$B$6*12,-Inputs!$B$4)</f>
        <v>740.222022114819</v>
      </c>
      <c r="Z3" s="5" t="n">
        <f aca="false">W3-X3-Y3</f>
        <v>-2889.44902211482</v>
      </c>
      <c r="AA3" s="5" t="n">
        <f aca="false">PPMT(Inputs!$B$5/12,A3,Inputs!$B$6*12,-Inputs!$B$4)</f>
        <v>406.725450477331</v>
      </c>
      <c r="AB3" s="5" t="n">
        <f aca="false">W3-Y3-AA3</f>
        <v>-1946.17447259215</v>
      </c>
      <c r="AC3" s="5" t="n">
        <f aca="false">AC2+AB3</f>
        <v>9965.2570548157</v>
      </c>
    </row>
    <row r="4" customFormat="false" ht="15" hidden="false" customHeight="false" outlineLevel="0" collapsed="false">
      <c r="A4" s="0" t="n">
        <v>3</v>
      </c>
      <c r="B4" s="0" t="n">
        <f aca="false">INT((A4-1)/12)+1</f>
        <v>1</v>
      </c>
      <c r="C4" s="4" t="n">
        <f aca="false">Inputs!D$35</f>
        <v>0.55</v>
      </c>
      <c r="D4" s="5" t="n">
        <f aca="false">Inputs!$B$8*(1+Inputs!$B$9)^(B4-1)</f>
        <v>95</v>
      </c>
      <c r="E4" s="5" t="n">
        <f aca="false">Inputs!$B$10*Inputs!$B$11*C4</f>
        <v>72.6</v>
      </c>
      <c r="F4" s="5" t="n">
        <f aca="false">IF(A4&gt;=Inputs!$B$14,Inputs!$B$16*Inputs!$B$11*C4,0)</f>
        <v>0</v>
      </c>
      <c r="G4" s="5" t="n">
        <f aca="false">(E4+F4)*D4</f>
        <v>6897</v>
      </c>
      <c r="H4" s="5" t="n">
        <f aca="false">G4*Inputs!$B$19</f>
        <v>413.82</v>
      </c>
      <c r="I4" s="5" t="n">
        <f aca="false">G4*Inputs!$B$20</f>
        <v>200.013</v>
      </c>
      <c r="J4" s="5" t="n">
        <f aca="false">G4-H4-I4</f>
        <v>6283.167</v>
      </c>
      <c r="K4" s="5" t="n">
        <f aca="false">IF(A4&gt;=Inputs!$B$14,Inputs!$B$15,0)</f>
        <v>0</v>
      </c>
      <c r="L4" s="5" t="n">
        <f aca="false">Inputs!$B$18</f>
        <v>3500</v>
      </c>
      <c r="M4" s="5" t="n">
        <f aca="false">Inputs!$B$21*IF(A4&gt;=Inputs!$B$14,1.6,1)</f>
        <v>900</v>
      </c>
      <c r="N4" s="5" t="n">
        <f aca="false">Inputs!$B$22</f>
        <v>350</v>
      </c>
      <c r="O4" s="5" t="n">
        <f aca="false">Inputs!$B$23</f>
        <v>250</v>
      </c>
      <c r="P4" s="5" t="n">
        <f aca="false">Inputs!$B$24</f>
        <v>80</v>
      </c>
      <c r="Q4" s="5" t="n">
        <f aca="false">IF(A4&lt;=6,Inputs!$B$25,Inputs!$B$26)</f>
        <v>600</v>
      </c>
      <c r="R4" s="5" t="n">
        <f aca="false">Inputs!$B$27</f>
        <v>60</v>
      </c>
      <c r="S4" s="5" t="n">
        <f aca="false">Inputs!$B$28</f>
        <v>150</v>
      </c>
      <c r="T4" s="5" t="n">
        <f aca="false">IF(A4&gt;=Inputs!$B$14,Inputs!$B$17,0)</f>
        <v>0</v>
      </c>
      <c r="U4" s="5" t="n">
        <f aca="false">Inputs!$B$29</f>
        <v>50</v>
      </c>
      <c r="V4" s="5" t="n">
        <f aca="false">SUM(K4:U4)</f>
        <v>5940</v>
      </c>
      <c r="W4" s="5" t="n">
        <f aca="false">J4-V4</f>
        <v>343.167000000001</v>
      </c>
      <c r="X4" s="5" t="n">
        <f aca="false">Inputs!$B$30/(Inputs!$B$31*12)</f>
        <v>1350</v>
      </c>
      <c r="Y4" s="5" t="n">
        <f aca="false">IPMT(Inputs!$B$5/12,A4,Inputs!$B$6*12,-Inputs!$B$4)</f>
        <v>736.663174423142</v>
      </c>
      <c r="Z4" s="5" t="n">
        <f aca="false">W4-X4-Y4</f>
        <v>-1743.49617442314</v>
      </c>
      <c r="AA4" s="5" t="n">
        <f aca="false">PPMT(Inputs!$B$5/12,A4,Inputs!$B$6*12,-Inputs!$B$4)</f>
        <v>410.284298169007</v>
      </c>
      <c r="AB4" s="5" t="n">
        <f aca="false">W4-Y4-AA4</f>
        <v>-803.780472592148</v>
      </c>
      <c r="AC4" s="5" t="n">
        <f aca="false">AC3+AB4</f>
        <v>9161.47658222355</v>
      </c>
    </row>
    <row r="5" customFormat="false" ht="15" hidden="false" customHeight="false" outlineLevel="0" collapsed="false">
      <c r="A5" s="0" t="n">
        <v>4</v>
      </c>
      <c r="B5" s="0" t="n">
        <f aca="false">INT((A5-1)/12)+1</f>
        <v>1</v>
      </c>
      <c r="C5" s="4" t="n">
        <f aca="false">Inputs!E$35</f>
        <v>0.62</v>
      </c>
      <c r="D5" s="5" t="n">
        <f aca="false">Inputs!$B$8*(1+Inputs!$B$9)^(B5-1)</f>
        <v>95</v>
      </c>
      <c r="E5" s="5" t="n">
        <f aca="false">Inputs!$B$10*Inputs!$B$11*C5</f>
        <v>81.84</v>
      </c>
      <c r="F5" s="5" t="n">
        <f aca="false">IF(A5&gt;=Inputs!$B$14,Inputs!$B$16*Inputs!$B$11*C5,0)</f>
        <v>0</v>
      </c>
      <c r="G5" s="5" t="n">
        <f aca="false">(E5+F5)*D5</f>
        <v>7774.8</v>
      </c>
      <c r="H5" s="5" t="n">
        <f aca="false">G5*Inputs!$B$19</f>
        <v>466.488</v>
      </c>
      <c r="I5" s="5" t="n">
        <f aca="false">G5*Inputs!$B$20</f>
        <v>225.4692</v>
      </c>
      <c r="J5" s="5" t="n">
        <f aca="false">G5-H5-I5</f>
        <v>7082.8428</v>
      </c>
      <c r="K5" s="5" t="n">
        <f aca="false">IF(A5&gt;=Inputs!$B$14,Inputs!$B$15,0)</f>
        <v>0</v>
      </c>
      <c r="L5" s="5" t="n">
        <f aca="false">Inputs!$B$18</f>
        <v>3500</v>
      </c>
      <c r="M5" s="5" t="n">
        <f aca="false">Inputs!$B$21*IF(A5&gt;=Inputs!$B$14,1.6,1)</f>
        <v>900</v>
      </c>
      <c r="N5" s="5" t="n">
        <f aca="false">Inputs!$B$22</f>
        <v>350</v>
      </c>
      <c r="O5" s="5" t="n">
        <f aca="false">Inputs!$B$23</f>
        <v>250</v>
      </c>
      <c r="P5" s="5" t="n">
        <f aca="false">Inputs!$B$24</f>
        <v>80</v>
      </c>
      <c r="Q5" s="5" t="n">
        <f aca="false">IF(A5&lt;=6,Inputs!$B$25,Inputs!$B$26)</f>
        <v>600</v>
      </c>
      <c r="R5" s="5" t="n">
        <f aca="false">Inputs!$B$27</f>
        <v>60</v>
      </c>
      <c r="S5" s="5" t="n">
        <f aca="false">Inputs!$B$28</f>
        <v>150</v>
      </c>
      <c r="T5" s="5" t="n">
        <f aca="false">IF(A5&gt;=Inputs!$B$14,Inputs!$B$17,0)</f>
        <v>0</v>
      </c>
      <c r="U5" s="5" t="n">
        <f aca="false">Inputs!$B$29</f>
        <v>50</v>
      </c>
      <c r="V5" s="5" t="n">
        <f aca="false">SUM(K5:U5)</f>
        <v>5940</v>
      </c>
      <c r="W5" s="5" t="n">
        <f aca="false">J5-V5</f>
        <v>1142.8428</v>
      </c>
      <c r="X5" s="5" t="n">
        <f aca="false">Inputs!$B$30/(Inputs!$B$31*12)</f>
        <v>1350</v>
      </c>
      <c r="Y5" s="5" t="n">
        <f aca="false">IPMT(Inputs!$B$5/12,A5,Inputs!$B$6*12,-Inputs!$B$4)</f>
        <v>733.073186814163</v>
      </c>
      <c r="Z5" s="5" t="n">
        <f aca="false">W5-X5-Y5</f>
        <v>-940.230386814164</v>
      </c>
      <c r="AA5" s="5" t="n">
        <f aca="false">PPMT(Inputs!$B$5/12,A5,Inputs!$B$6*12,-Inputs!$B$4)</f>
        <v>413.874285777986</v>
      </c>
      <c r="AB5" s="5" t="n">
        <f aca="false">W5-Y5-AA5</f>
        <v>-4.10467259214988</v>
      </c>
      <c r="AC5" s="5" t="n">
        <f aca="false">AC4+AB5</f>
        <v>9157.3719096314</v>
      </c>
    </row>
    <row r="6" customFormat="false" ht="15" hidden="false" customHeight="false" outlineLevel="0" collapsed="false">
      <c r="A6" s="0" t="n">
        <v>5</v>
      </c>
      <c r="B6" s="0" t="n">
        <f aca="false">INT((A6-1)/12)+1</f>
        <v>1</v>
      </c>
      <c r="C6" s="4" t="n">
        <f aca="false">Inputs!F$35</f>
        <v>0.68</v>
      </c>
      <c r="D6" s="5" t="n">
        <f aca="false">Inputs!$B$8*(1+Inputs!$B$9)^(B6-1)</f>
        <v>95</v>
      </c>
      <c r="E6" s="5" t="n">
        <f aca="false">Inputs!$B$10*Inputs!$B$11*C6</f>
        <v>89.76</v>
      </c>
      <c r="F6" s="5" t="n">
        <f aca="false">IF(A6&gt;=Inputs!$B$14,Inputs!$B$16*Inputs!$B$11*C6,0)</f>
        <v>0</v>
      </c>
      <c r="G6" s="5" t="n">
        <f aca="false">(E6+F6)*D6</f>
        <v>8527.2</v>
      </c>
      <c r="H6" s="5" t="n">
        <f aca="false">G6*Inputs!$B$19</f>
        <v>511.632</v>
      </c>
      <c r="I6" s="5" t="n">
        <f aca="false">G6*Inputs!$B$20</f>
        <v>247.2888</v>
      </c>
      <c r="J6" s="5" t="n">
        <f aca="false">G6-H6-I6</f>
        <v>7768.2792</v>
      </c>
      <c r="K6" s="5" t="n">
        <f aca="false">IF(A6&gt;=Inputs!$B$14,Inputs!$B$15,0)</f>
        <v>0</v>
      </c>
      <c r="L6" s="5" t="n">
        <f aca="false">Inputs!$B$18</f>
        <v>3500</v>
      </c>
      <c r="M6" s="5" t="n">
        <f aca="false">Inputs!$B$21*IF(A6&gt;=Inputs!$B$14,1.6,1)</f>
        <v>900</v>
      </c>
      <c r="N6" s="5" t="n">
        <f aca="false">Inputs!$B$22</f>
        <v>350</v>
      </c>
      <c r="O6" s="5" t="n">
        <f aca="false">Inputs!$B$23</f>
        <v>250</v>
      </c>
      <c r="P6" s="5" t="n">
        <f aca="false">Inputs!$B$24</f>
        <v>80</v>
      </c>
      <c r="Q6" s="5" t="n">
        <f aca="false">IF(A6&lt;=6,Inputs!$B$25,Inputs!$B$26)</f>
        <v>600</v>
      </c>
      <c r="R6" s="5" t="n">
        <f aca="false">Inputs!$B$27</f>
        <v>60</v>
      </c>
      <c r="S6" s="5" t="n">
        <f aca="false">Inputs!$B$28</f>
        <v>150</v>
      </c>
      <c r="T6" s="5" t="n">
        <f aca="false">IF(A6&gt;=Inputs!$B$14,Inputs!$B$17,0)</f>
        <v>0</v>
      </c>
      <c r="U6" s="5" t="n">
        <f aca="false">Inputs!$B$29</f>
        <v>50</v>
      </c>
      <c r="V6" s="5" t="n">
        <f aca="false">SUM(K6:U6)</f>
        <v>5940</v>
      </c>
      <c r="W6" s="5" t="n">
        <f aca="false">J6-V6</f>
        <v>1828.2792</v>
      </c>
      <c r="X6" s="5" t="n">
        <f aca="false">Inputs!$B$30/(Inputs!$B$31*12)</f>
        <v>1350</v>
      </c>
      <c r="Y6" s="5" t="n">
        <f aca="false">IPMT(Inputs!$B$5/12,A6,Inputs!$B$6*12,-Inputs!$B$4)</f>
        <v>729.451786813606</v>
      </c>
      <c r="Z6" s="5" t="n">
        <f aca="false">W6-X6-Y6</f>
        <v>-251.172586813605</v>
      </c>
      <c r="AA6" s="5" t="n">
        <f aca="false">PPMT(Inputs!$B$5/12,A6,Inputs!$B$6*12,-Inputs!$B$4)</f>
        <v>417.495685778544</v>
      </c>
      <c r="AB6" s="5" t="n">
        <f aca="false">W6-Y6-AA6</f>
        <v>681.331727407851</v>
      </c>
      <c r="AC6" s="5" t="n">
        <f aca="false">AC5+AB6</f>
        <v>9838.70363703925</v>
      </c>
    </row>
    <row r="7" customFormat="false" ht="15" hidden="false" customHeight="false" outlineLevel="0" collapsed="false">
      <c r="A7" s="0" t="n">
        <v>6</v>
      </c>
      <c r="B7" s="0" t="n">
        <f aca="false">INT((A7-1)/12)+1</f>
        <v>1</v>
      </c>
      <c r="C7" s="4" t="n">
        <f aca="false">Inputs!G$35</f>
        <v>0.73</v>
      </c>
      <c r="D7" s="5" t="n">
        <f aca="false">Inputs!$B$8*(1+Inputs!$B$9)^(B7-1)</f>
        <v>95</v>
      </c>
      <c r="E7" s="5" t="n">
        <f aca="false">Inputs!$B$10*Inputs!$B$11*C7</f>
        <v>96.36</v>
      </c>
      <c r="F7" s="5" t="n">
        <f aca="false">IF(A7&gt;=Inputs!$B$14,Inputs!$B$16*Inputs!$B$11*C7,0)</f>
        <v>0</v>
      </c>
      <c r="G7" s="5" t="n">
        <f aca="false">(E7+F7)*D7</f>
        <v>9154.2</v>
      </c>
      <c r="H7" s="5" t="n">
        <f aca="false">G7*Inputs!$B$19</f>
        <v>549.252</v>
      </c>
      <c r="I7" s="5" t="n">
        <f aca="false">G7*Inputs!$B$20</f>
        <v>265.4718</v>
      </c>
      <c r="J7" s="5" t="n">
        <f aca="false">G7-H7-I7</f>
        <v>8339.4762</v>
      </c>
      <c r="K7" s="5" t="n">
        <f aca="false">IF(A7&gt;=Inputs!$B$14,Inputs!$B$15,0)</f>
        <v>0</v>
      </c>
      <c r="L7" s="5" t="n">
        <f aca="false">Inputs!$B$18</f>
        <v>3500</v>
      </c>
      <c r="M7" s="5" t="n">
        <f aca="false">Inputs!$B$21*IF(A7&gt;=Inputs!$B$14,1.6,1)</f>
        <v>900</v>
      </c>
      <c r="N7" s="5" t="n">
        <f aca="false">Inputs!$B$22</f>
        <v>350</v>
      </c>
      <c r="O7" s="5" t="n">
        <f aca="false">Inputs!$B$23</f>
        <v>250</v>
      </c>
      <c r="P7" s="5" t="n">
        <f aca="false">Inputs!$B$24</f>
        <v>80</v>
      </c>
      <c r="Q7" s="5" t="n">
        <f aca="false">IF(A7&lt;=6,Inputs!$B$25,Inputs!$B$26)</f>
        <v>600</v>
      </c>
      <c r="R7" s="5" t="n">
        <f aca="false">Inputs!$B$27</f>
        <v>60</v>
      </c>
      <c r="S7" s="5" t="n">
        <f aca="false">Inputs!$B$28</f>
        <v>150</v>
      </c>
      <c r="T7" s="5" t="n">
        <f aca="false">IF(A7&gt;=Inputs!$B$14,Inputs!$B$17,0)</f>
        <v>0</v>
      </c>
      <c r="U7" s="5" t="n">
        <f aca="false">Inputs!$B$29</f>
        <v>50</v>
      </c>
      <c r="V7" s="5" t="n">
        <f aca="false">SUM(K7:U7)</f>
        <v>5940</v>
      </c>
      <c r="W7" s="5" t="n">
        <f aca="false">J7-V7</f>
        <v>2399.4762</v>
      </c>
      <c r="X7" s="5" t="n">
        <f aca="false">Inputs!$B$30/(Inputs!$B$31*12)</f>
        <v>1350</v>
      </c>
      <c r="Y7" s="5" t="n">
        <f aca="false">IPMT(Inputs!$B$5/12,A7,Inputs!$B$6*12,-Inputs!$B$4)</f>
        <v>725.798699563044</v>
      </c>
      <c r="Z7" s="5" t="n">
        <f aca="false">W7-X7-Y7</f>
        <v>323.677500436957</v>
      </c>
      <c r="AA7" s="5" t="n">
        <f aca="false">PPMT(Inputs!$B$5/12,A7,Inputs!$B$6*12,-Inputs!$B$4)</f>
        <v>421.148773029106</v>
      </c>
      <c r="AB7" s="5" t="n">
        <f aca="false">W7-Y7-AA7</f>
        <v>1252.52872740785</v>
      </c>
      <c r="AC7" s="5" t="n">
        <f aca="false">AC6+AB7</f>
        <v>11091.2323644471</v>
      </c>
    </row>
    <row r="8" customFormat="false" ht="15" hidden="false" customHeight="false" outlineLevel="0" collapsed="false">
      <c r="A8" s="0" t="n">
        <v>7</v>
      </c>
      <c r="B8" s="0" t="n">
        <f aca="false">INT((A8-1)/12)+1</f>
        <v>1</v>
      </c>
      <c r="C8" s="4" t="n">
        <f aca="false">Inputs!H$35</f>
        <v>0.77</v>
      </c>
      <c r="D8" s="5" t="n">
        <f aca="false">Inputs!$B$8*(1+Inputs!$B$9)^(B8-1)</f>
        <v>95</v>
      </c>
      <c r="E8" s="5" t="n">
        <f aca="false">Inputs!$B$10*Inputs!$B$11*C8</f>
        <v>101.64</v>
      </c>
      <c r="F8" s="5" t="n">
        <f aca="false">IF(A8&gt;=Inputs!$B$14,Inputs!$B$16*Inputs!$B$11*C8,0)</f>
        <v>0</v>
      </c>
      <c r="G8" s="5" t="n">
        <f aca="false">(E8+F8)*D8</f>
        <v>9655.8</v>
      </c>
      <c r="H8" s="5" t="n">
        <f aca="false">G8*Inputs!$B$19</f>
        <v>579.348</v>
      </c>
      <c r="I8" s="5" t="n">
        <f aca="false">G8*Inputs!$B$20</f>
        <v>280.0182</v>
      </c>
      <c r="J8" s="5" t="n">
        <f aca="false">G8-H8-I8</f>
        <v>8796.4338</v>
      </c>
      <c r="K8" s="5" t="n">
        <f aca="false">IF(A8&gt;=Inputs!$B$14,Inputs!$B$15,0)</f>
        <v>0</v>
      </c>
      <c r="L8" s="5" t="n">
        <f aca="false">Inputs!$B$18</f>
        <v>3500</v>
      </c>
      <c r="M8" s="5" t="n">
        <f aca="false">Inputs!$B$21*IF(A8&gt;=Inputs!$B$14,1.6,1)</f>
        <v>900</v>
      </c>
      <c r="N8" s="5" t="n">
        <f aca="false">Inputs!$B$22</f>
        <v>350</v>
      </c>
      <c r="O8" s="5" t="n">
        <f aca="false">Inputs!$B$23</f>
        <v>250</v>
      </c>
      <c r="P8" s="5" t="n">
        <f aca="false">Inputs!$B$24</f>
        <v>80</v>
      </c>
      <c r="Q8" s="5" t="n">
        <f aca="false">IF(A8&lt;=6,Inputs!$B$25,Inputs!$B$26)</f>
        <v>350</v>
      </c>
      <c r="R8" s="5" t="n">
        <f aca="false">Inputs!$B$27</f>
        <v>60</v>
      </c>
      <c r="S8" s="5" t="n">
        <f aca="false">Inputs!$B$28</f>
        <v>150</v>
      </c>
      <c r="T8" s="5" t="n">
        <f aca="false">IF(A8&gt;=Inputs!$B$14,Inputs!$B$17,0)</f>
        <v>0</v>
      </c>
      <c r="U8" s="5" t="n">
        <f aca="false">Inputs!$B$29</f>
        <v>50</v>
      </c>
      <c r="V8" s="5" t="n">
        <f aca="false">SUM(K8:U8)</f>
        <v>5690</v>
      </c>
      <c r="W8" s="5" t="n">
        <f aca="false">J8-V8</f>
        <v>3106.4338</v>
      </c>
      <c r="X8" s="5" t="n">
        <f aca="false">Inputs!$B$30/(Inputs!$B$31*12)</f>
        <v>1350</v>
      </c>
      <c r="Y8" s="5" t="n">
        <f aca="false">IPMT(Inputs!$B$5/12,A8,Inputs!$B$6*12,-Inputs!$B$4)</f>
        <v>722.113647799039</v>
      </c>
      <c r="Z8" s="5" t="n">
        <f aca="false">W8-X8-Y8</f>
        <v>1034.32015220096</v>
      </c>
      <c r="AA8" s="5" t="n">
        <f aca="false">PPMT(Inputs!$B$5/12,A8,Inputs!$B$6*12,-Inputs!$B$4)</f>
        <v>424.833824793111</v>
      </c>
      <c r="AB8" s="5" t="n">
        <f aca="false">W8-Y8-AA8</f>
        <v>1959.48632740785</v>
      </c>
      <c r="AC8" s="5" t="n">
        <f aca="false">AC7+AB8</f>
        <v>13050.718691855</v>
      </c>
    </row>
    <row r="9" customFormat="false" ht="15" hidden="false" customHeight="false" outlineLevel="0" collapsed="false">
      <c r="A9" s="0" t="n">
        <v>8</v>
      </c>
      <c r="B9" s="0" t="n">
        <f aca="false">INT((A9-1)/12)+1</f>
        <v>1</v>
      </c>
      <c r="C9" s="4" t="n">
        <f aca="false">Inputs!I$35</f>
        <v>0.8</v>
      </c>
      <c r="D9" s="5" t="n">
        <f aca="false">Inputs!$B$8*(1+Inputs!$B$9)^(B9-1)</f>
        <v>95</v>
      </c>
      <c r="E9" s="5" t="n">
        <f aca="false">Inputs!$B$10*Inputs!$B$11*C9</f>
        <v>105.6</v>
      </c>
      <c r="F9" s="5" t="n">
        <f aca="false">IF(A9&gt;=Inputs!$B$14,Inputs!$B$16*Inputs!$B$11*C9,0)</f>
        <v>0</v>
      </c>
      <c r="G9" s="5" t="n">
        <f aca="false">(E9+F9)*D9</f>
        <v>10032</v>
      </c>
      <c r="H9" s="5" t="n">
        <f aca="false">G9*Inputs!$B$19</f>
        <v>601.92</v>
      </c>
      <c r="I9" s="5" t="n">
        <f aca="false">G9*Inputs!$B$20</f>
        <v>290.928</v>
      </c>
      <c r="J9" s="5" t="n">
        <f aca="false">G9-H9-I9</f>
        <v>9139.152</v>
      </c>
      <c r="K9" s="5" t="n">
        <f aca="false">IF(A9&gt;=Inputs!$B$14,Inputs!$B$15,0)</f>
        <v>0</v>
      </c>
      <c r="L9" s="5" t="n">
        <f aca="false">Inputs!$B$18</f>
        <v>3500</v>
      </c>
      <c r="M9" s="5" t="n">
        <f aca="false">Inputs!$B$21*IF(A9&gt;=Inputs!$B$14,1.6,1)</f>
        <v>900</v>
      </c>
      <c r="N9" s="5" t="n">
        <f aca="false">Inputs!$B$22</f>
        <v>350</v>
      </c>
      <c r="O9" s="5" t="n">
        <f aca="false">Inputs!$B$23</f>
        <v>250</v>
      </c>
      <c r="P9" s="5" t="n">
        <f aca="false">Inputs!$B$24</f>
        <v>80</v>
      </c>
      <c r="Q9" s="5" t="n">
        <f aca="false">IF(A9&lt;=6,Inputs!$B$25,Inputs!$B$26)</f>
        <v>350</v>
      </c>
      <c r="R9" s="5" t="n">
        <f aca="false">Inputs!$B$27</f>
        <v>60</v>
      </c>
      <c r="S9" s="5" t="n">
        <f aca="false">Inputs!$B$28</f>
        <v>150</v>
      </c>
      <c r="T9" s="5" t="n">
        <f aca="false">IF(A9&gt;=Inputs!$B$14,Inputs!$B$17,0)</f>
        <v>0</v>
      </c>
      <c r="U9" s="5" t="n">
        <f aca="false">Inputs!$B$29</f>
        <v>50</v>
      </c>
      <c r="V9" s="5" t="n">
        <f aca="false">SUM(K9:U9)</f>
        <v>5690</v>
      </c>
      <c r="W9" s="5" t="n">
        <f aca="false">J9-V9</f>
        <v>3449.152</v>
      </c>
      <c r="X9" s="5" t="n">
        <f aca="false">Inputs!$B$30/(Inputs!$B$31*12)</f>
        <v>1350</v>
      </c>
      <c r="Y9" s="5" t="n">
        <f aca="false">IPMT(Inputs!$B$5/12,A9,Inputs!$B$6*12,-Inputs!$B$4)</f>
        <v>718.396351832099</v>
      </c>
      <c r="Z9" s="5" t="n">
        <f aca="false">W9-X9-Y9</f>
        <v>1380.7556481679</v>
      </c>
      <c r="AA9" s="5" t="n">
        <f aca="false">PPMT(Inputs!$B$5/12,A9,Inputs!$B$6*12,-Inputs!$B$4)</f>
        <v>428.55112076005</v>
      </c>
      <c r="AB9" s="5" t="n">
        <f aca="false">W9-Y9-AA9</f>
        <v>2302.20452740785</v>
      </c>
      <c r="AC9" s="5" t="n">
        <f aca="false">AC8+AB9</f>
        <v>15352.9232192628</v>
      </c>
    </row>
    <row r="10" customFormat="false" ht="15" hidden="false" customHeight="false" outlineLevel="0" collapsed="false">
      <c r="A10" s="0" t="n">
        <v>9</v>
      </c>
      <c r="B10" s="0" t="n">
        <f aca="false">INT((A10-1)/12)+1</f>
        <v>1</v>
      </c>
      <c r="C10" s="4" t="n">
        <f aca="false">Inputs!J$35</f>
        <v>0.83</v>
      </c>
      <c r="D10" s="5" t="n">
        <f aca="false">Inputs!$B$8*(1+Inputs!$B$9)^(B10-1)</f>
        <v>95</v>
      </c>
      <c r="E10" s="5" t="n">
        <f aca="false">Inputs!$B$10*Inputs!$B$11*C10</f>
        <v>109.56</v>
      </c>
      <c r="F10" s="5" t="n">
        <f aca="false">IF(A10&gt;=Inputs!$B$14,Inputs!$B$16*Inputs!$B$11*C10,0)</f>
        <v>0</v>
      </c>
      <c r="G10" s="5" t="n">
        <f aca="false">(E10+F10)*D10</f>
        <v>10408.2</v>
      </c>
      <c r="H10" s="5" t="n">
        <f aca="false">G10*Inputs!$B$19</f>
        <v>624.492</v>
      </c>
      <c r="I10" s="5" t="n">
        <f aca="false">G10*Inputs!$B$20</f>
        <v>301.8378</v>
      </c>
      <c r="J10" s="5" t="n">
        <f aca="false">G10-H10-I10</f>
        <v>9481.8702</v>
      </c>
      <c r="K10" s="5" t="n">
        <f aca="false">IF(A10&gt;=Inputs!$B$14,Inputs!$B$15,0)</f>
        <v>0</v>
      </c>
      <c r="L10" s="5" t="n">
        <f aca="false">Inputs!$B$18</f>
        <v>3500</v>
      </c>
      <c r="M10" s="5" t="n">
        <f aca="false">Inputs!$B$21*IF(A10&gt;=Inputs!$B$14,1.6,1)</f>
        <v>900</v>
      </c>
      <c r="N10" s="5" t="n">
        <f aca="false">Inputs!$B$22</f>
        <v>350</v>
      </c>
      <c r="O10" s="5" t="n">
        <f aca="false">Inputs!$B$23</f>
        <v>250</v>
      </c>
      <c r="P10" s="5" t="n">
        <f aca="false">Inputs!$B$24</f>
        <v>80</v>
      </c>
      <c r="Q10" s="5" t="n">
        <f aca="false">IF(A10&lt;=6,Inputs!$B$25,Inputs!$B$26)</f>
        <v>350</v>
      </c>
      <c r="R10" s="5" t="n">
        <f aca="false">Inputs!$B$27</f>
        <v>60</v>
      </c>
      <c r="S10" s="5" t="n">
        <f aca="false">Inputs!$B$28</f>
        <v>150</v>
      </c>
      <c r="T10" s="5" t="n">
        <f aca="false">IF(A10&gt;=Inputs!$B$14,Inputs!$B$17,0)</f>
        <v>0</v>
      </c>
      <c r="U10" s="5" t="n">
        <f aca="false">Inputs!$B$29</f>
        <v>50</v>
      </c>
      <c r="V10" s="5" t="n">
        <f aca="false">SUM(K10:U10)</f>
        <v>5690</v>
      </c>
      <c r="W10" s="5" t="n">
        <f aca="false">J10-V10</f>
        <v>3791.8702</v>
      </c>
      <c r="X10" s="5" t="n">
        <f aca="false">Inputs!$B$30/(Inputs!$B$31*12)</f>
        <v>1350</v>
      </c>
      <c r="Y10" s="5" t="n">
        <f aca="false">IPMT(Inputs!$B$5/12,A10,Inputs!$B$6*12,-Inputs!$B$4)</f>
        <v>714.646529525449</v>
      </c>
      <c r="Z10" s="5" t="n">
        <f aca="false">W10-X10-Y10</f>
        <v>1727.22367047455</v>
      </c>
      <c r="AA10" s="5" t="n">
        <f aca="false">PPMT(Inputs!$B$5/12,A10,Inputs!$B$6*12,-Inputs!$B$4)</f>
        <v>432.300943066701</v>
      </c>
      <c r="AB10" s="5" t="n">
        <f aca="false">W10-Y10-AA10</f>
        <v>2644.92272740785</v>
      </c>
      <c r="AC10" s="5" t="n">
        <f aca="false">AC9+AB10</f>
        <v>17997.8459466707</v>
      </c>
    </row>
    <row r="11" customFormat="false" ht="15" hidden="false" customHeight="false" outlineLevel="0" collapsed="false">
      <c r="A11" s="0" t="n">
        <v>10</v>
      </c>
      <c r="B11" s="0" t="n">
        <f aca="false">INT((A11-1)/12)+1</f>
        <v>1</v>
      </c>
      <c r="C11" s="4" t="n">
        <f aca="false">Inputs!K$35</f>
        <v>0.85</v>
      </c>
      <c r="D11" s="5" t="n">
        <f aca="false">Inputs!$B$8*(1+Inputs!$B$9)^(B11-1)</f>
        <v>95</v>
      </c>
      <c r="E11" s="5" t="n">
        <f aca="false">Inputs!$B$10*Inputs!$B$11*C11</f>
        <v>112.2</v>
      </c>
      <c r="F11" s="5" t="n">
        <f aca="false">IF(A11&gt;=Inputs!$B$14,Inputs!$B$16*Inputs!$B$11*C11,0)</f>
        <v>0</v>
      </c>
      <c r="G11" s="5" t="n">
        <f aca="false">(E11+F11)*D11</f>
        <v>10659</v>
      </c>
      <c r="H11" s="5" t="n">
        <f aca="false">G11*Inputs!$B$19</f>
        <v>639.54</v>
      </c>
      <c r="I11" s="5" t="n">
        <f aca="false">G11*Inputs!$B$20</f>
        <v>309.111</v>
      </c>
      <c r="J11" s="5" t="n">
        <f aca="false">G11-H11-I11</f>
        <v>9710.349</v>
      </c>
      <c r="K11" s="5" t="n">
        <f aca="false">IF(A11&gt;=Inputs!$B$14,Inputs!$B$15,0)</f>
        <v>0</v>
      </c>
      <c r="L11" s="5" t="n">
        <f aca="false">Inputs!$B$18</f>
        <v>3500</v>
      </c>
      <c r="M11" s="5" t="n">
        <f aca="false">Inputs!$B$21*IF(A11&gt;=Inputs!$B$14,1.6,1)</f>
        <v>900</v>
      </c>
      <c r="N11" s="5" t="n">
        <f aca="false">Inputs!$B$22</f>
        <v>350</v>
      </c>
      <c r="O11" s="5" t="n">
        <f aca="false">Inputs!$B$23</f>
        <v>250</v>
      </c>
      <c r="P11" s="5" t="n">
        <f aca="false">Inputs!$B$24</f>
        <v>80</v>
      </c>
      <c r="Q11" s="5" t="n">
        <f aca="false">IF(A11&lt;=6,Inputs!$B$25,Inputs!$B$26)</f>
        <v>350</v>
      </c>
      <c r="R11" s="5" t="n">
        <f aca="false">Inputs!$B$27</f>
        <v>60</v>
      </c>
      <c r="S11" s="5" t="n">
        <f aca="false">Inputs!$B$28</f>
        <v>150</v>
      </c>
      <c r="T11" s="5" t="n">
        <f aca="false">IF(A11&gt;=Inputs!$B$14,Inputs!$B$17,0)</f>
        <v>0</v>
      </c>
      <c r="U11" s="5" t="n">
        <f aca="false">Inputs!$B$29</f>
        <v>50</v>
      </c>
      <c r="V11" s="5" t="n">
        <f aca="false">SUM(K11:U11)</f>
        <v>5690</v>
      </c>
      <c r="W11" s="5" t="n">
        <f aca="false">J11-V11</f>
        <v>4020.349</v>
      </c>
      <c r="X11" s="5" t="n">
        <f aca="false">Inputs!$B$30/(Inputs!$B$31*12)</f>
        <v>1350</v>
      </c>
      <c r="Y11" s="5" t="n">
        <f aca="false">IPMT(Inputs!$B$5/12,A11,Inputs!$B$6*12,-Inputs!$B$4)</f>
        <v>710.863896273615</v>
      </c>
      <c r="Z11" s="5" t="n">
        <f aca="false">W11-X11-Y11</f>
        <v>1959.48510372638</v>
      </c>
      <c r="AA11" s="5" t="n">
        <f aca="false">PPMT(Inputs!$B$5/12,A11,Inputs!$B$6*12,-Inputs!$B$4)</f>
        <v>436.083576318534</v>
      </c>
      <c r="AB11" s="5" t="n">
        <f aca="false">W11-Y11-AA11</f>
        <v>2873.40152740785</v>
      </c>
      <c r="AC11" s="5" t="n">
        <f aca="false">AC10+AB11</f>
        <v>20871.2474740785</v>
      </c>
    </row>
    <row r="12" customFormat="false" ht="15" hidden="false" customHeight="false" outlineLevel="0" collapsed="false">
      <c r="A12" s="0" t="n">
        <v>11</v>
      </c>
      <c r="B12" s="0" t="n">
        <f aca="false">INT((A12-1)/12)+1</f>
        <v>1</v>
      </c>
      <c r="C12" s="4" t="n">
        <f aca="false">Inputs!L$35</f>
        <v>0.85</v>
      </c>
      <c r="D12" s="5" t="n">
        <f aca="false">Inputs!$B$8*(1+Inputs!$B$9)^(B12-1)</f>
        <v>95</v>
      </c>
      <c r="E12" s="5" t="n">
        <f aca="false">Inputs!$B$10*Inputs!$B$11*C12</f>
        <v>112.2</v>
      </c>
      <c r="F12" s="5" t="n">
        <f aca="false">IF(A12&gt;=Inputs!$B$14,Inputs!$B$16*Inputs!$B$11*C12,0)</f>
        <v>0</v>
      </c>
      <c r="G12" s="5" t="n">
        <f aca="false">(E12+F12)*D12</f>
        <v>10659</v>
      </c>
      <c r="H12" s="5" t="n">
        <f aca="false">G12*Inputs!$B$19</f>
        <v>639.54</v>
      </c>
      <c r="I12" s="5" t="n">
        <f aca="false">G12*Inputs!$B$20</f>
        <v>309.111</v>
      </c>
      <c r="J12" s="5" t="n">
        <f aca="false">G12-H12-I12</f>
        <v>9710.349</v>
      </c>
      <c r="K12" s="5" t="n">
        <f aca="false">IF(A12&gt;=Inputs!$B$14,Inputs!$B$15,0)</f>
        <v>0</v>
      </c>
      <c r="L12" s="5" t="n">
        <f aca="false">Inputs!$B$18</f>
        <v>3500</v>
      </c>
      <c r="M12" s="5" t="n">
        <f aca="false">Inputs!$B$21*IF(A12&gt;=Inputs!$B$14,1.6,1)</f>
        <v>900</v>
      </c>
      <c r="N12" s="5" t="n">
        <f aca="false">Inputs!$B$22</f>
        <v>350</v>
      </c>
      <c r="O12" s="5" t="n">
        <f aca="false">Inputs!$B$23</f>
        <v>250</v>
      </c>
      <c r="P12" s="5" t="n">
        <f aca="false">Inputs!$B$24</f>
        <v>80</v>
      </c>
      <c r="Q12" s="5" t="n">
        <f aca="false">IF(A12&lt;=6,Inputs!$B$25,Inputs!$B$26)</f>
        <v>350</v>
      </c>
      <c r="R12" s="5" t="n">
        <f aca="false">Inputs!$B$27</f>
        <v>60</v>
      </c>
      <c r="S12" s="5" t="n">
        <f aca="false">Inputs!$B$28</f>
        <v>150</v>
      </c>
      <c r="T12" s="5" t="n">
        <f aca="false">IF(A12&gt;=Inputs!$B$14,Inputs!$B$17,0)</f>
        <v>0</v>
      </c>
      <c r="U12" s="5" t="n">
        <f aca="false">Inputs!$B$29</f>
        <v>50</v>
      </c>
      <c r="V12" s="5" t="n">
        <f aca="false">SUM(K12:U12)</f>
        <v>5690</v>
      </c>
      <c r="W12" s="5" t="n">
        <f aca="false">J12-V12</f>
        <v>4020.349</v>
      </c>
      <c r="X12" s="5" t="n">
        <f aca="false">Inputs!$B$30/(Inputs!$B$31*12)</f>
        <v>1350</v>
      </c>
      <c r="Y12" s="5" t="n">
        <f aca="false">IPMT(Inputs!$B$5/12,A12,Inputs!$B$6*12,-Inputs!$B$4)</f>
        <v>707.048164980828</v>
      </c>
      <c r="Z12" s="5" t="n">
        <f aca="false">W12-X12-Y12</f>
        <v>1963.30083501917</v>
      </c>
      <c r="AA12" s="5" t="n">
        <f aca="false">PPMT(Inputs!$B$5/12,A12,Inputs!$B$6*12,-Inputs!$B$4)</f>
        <v>439.899307611322</v>
      </c>
      <c r="AB12" s="5" t="n">
        <f aca="false">W12-Y12-AA12</f>
        <v>2873.40152740785</v>
      </c>
      <c r="AC12" s="5" t="n">
        <f aca="false">AC11+AB12</f>
        <v>23744.6490014864</v>
      </c>
    </row>
    <row r="13" customFormat="false" ht="15" hidden="false" customHeight="false" outlineLevel="0" collapsed="false">
      <c r="A13" s="0" t="n">
        <v>12</v>
      </c>
      <c r="B13" s="0" t="n">
        <f aca="false">INT((A13-1)/12)+1</f>
        <v>1</v>
      </c>
      <c r="C13" s="4" t="n">
        <f aca="false">Inputs!M$35</f>
        <v>0.85</v>
      </c>
      <c r="D13" s="5" t="n">
        <f aca="false">Inputs!$B$8*(1+Inputs!$B$9)^(B13-1)</f>
        <v>95</v>
      </c>
      <c r="E13" s="5" t="n">
        <f aca="false">Inputs!$B$10*Inputs!$B$11*C13</f>
        <v>112.2</v>
      </c>
      <c r="F13" s="5" t="n">
        <f aca="false">IF(A13&gt;=Inputs!$B$14,Inputs!$B$16*Inputs!$B$11*C13,0)</f>
        <v>0</v>
      </c>
      <c r="G13" s="5" t="n">
        <f aca="false">(E13+F13)*D13</f>
        <v>10659</v>
      </c>
      <c r="H13" s="5" t="n">
        <f aca="false">G13*Inputs!$B$19</f>
        <v>639.54</v>
      </c>
      <c r="I13" s="5" t="n">
        <f aca="false">G13*Inputs!$B$20</f>
        <v>309.111</v>
      </c>
      <c r="J13" s="5" t="n">
        <f aca="false">G13-H13-I13</f>
        <v>9710.349</v>
      </c>
      <c r="K13" s="5" t="n">
        <f aca="false">IF(A13&gt;=Inputs!$B$14,Inputs!$B$15,0)</f>
        <v>0</v>
      </c>
      <c r="L13" s="5" t="n">
        <f aca="false">Inputs!$B$18</f>
        <v>3500</v>
      </c>
      <c r="M13" s="5" t="n">
        <f aca="false">Inputs!$B$21*IF(A13&gt;=Inputs!$B$14,1.6,1)</f>
        <v>900</v>
      </c>
      <c r="N13" s="5" t="n">
        <f aca="false">Inputs!$B$22</f>
        <v>350</v>
      </c>
      <c r="O13" s="5" t="n">
        <f aca="false">Inputs!$B$23</f>
        <v>250</v>
      </c>
      <c r="P13" s="5" t="n">
        <f aca="false">Inputs!$B$24</f>
        <v>80</v>
      </c>
      <c r="Q13" s="5" t="n">
        <f aca="false">IF(A13&lt;=6,Inputs!$B$25,Inputs!$B$26)</f>
        <v>350</v>
      </c>
      <c r="R13" s="5" t="n">
        <f aca="false">Inputs!$B$27</f>
        <v>60</v>
      </c>
      <c r="S13" s="5" t="n">
        <f aca="false">Inputs!$B$28</f>
        <v>150</v>
      </c>
      <c r="T13" s="5" t="n">
        <f aca="false">IF(A13&gt;=Inputs!$B$14,Inputs!$B$17,0)</f>
        <v>0</v>
      </c>
      <c r="U13" s="5" t="n">
        <f aca="false">Inputs!$B$29</f>
        <v>50</v>
      </c>
      <c r="V13" s="5" t="n">
        <f aca="false">SUM(K13:U13)</f>
        <v>5690</v>
      </c>
      <c r="W13" s="5" t="n">
        <f aca="false">J13-V13</f>
        <v>4020.349</v>
      </c>
      <c r="X13" s="5" t="n">
        <f aca="false">Inputs!$B$30/(Inputs!$B$31*12)</f>
        <v>1350</v>
      </c>
      <c r="Y13" s="5" t="n">
        <f aca="false">IPMT(Inputs!$B$5/12,A13,Inputs!$B$6*12,-Inputs!$B$4)</f>
        <v>703.199046039229</v>
      </c>
      <c r="Z13" s="5" t="n">
        <f aca="false">W13-X13-Y13</f>
        <v>1967.14995396077</v>
      </c>
      <c r="AA13" s="5" t="n">
        <f aca="false">PPMT(Inputs!$B$5/12,A13,Inputs!$B$6*12,-Inputs!$B$4)</f>
        <v>443.748426552921</v>
      </c>
      <c r="AB13" s="5" t="n">
        <f aca="false">W13-Y13-AA13</f>
        <v>2873.40152740785</v>
      </c>
      <c r="AC13" s="5" t="n">
        <f aca="false">AC12+AB13</f>
        <v>26618.0505288942</v>
      </c>
    </row>
    <row r="14" customFormat="false" ht="15" hidden="false" customHeight="false" outlineLevel="0" collapsed="false">
      <c r="A14" s="0" t="n">
        <v>13</v>
      </c>
      <c r="B14" s="0" t="n">
        <f aca="false">INT((A14-1)/12)+1</f>
        <v>2</v>
      </c>
      <c r="C14" s="4" t="n">
        <f aca="false">Inputs!$B$12</f>
        <v>0.88</v>
      </c>
      <c r="D14" s="5" t="n">
        <f aca="false">Inputs!$B$8*(1+Inputs!$B$9)^(B14-1)</f>
        <v>98.8</v>
      </c>
      <c r="E14" s="5" t="n">
        <f aca="false">Inputs!$B$10*Inputs!$B$11*C14</f>
        <v>116.16</v>
      </c>
      <c r="F14" s="5" t="n">
        <f aca="false">IF(A14&gt;=Inputs!$B$14,Inputs!$B$16*Inputs!$B$11*C14,0)</f>
        <v>0</v>
      </c>
      <c r="G14" s="5" t="n">
        <f aca="false">(E14+F14)*D14</f>
        <v>11476.608</v>
      </c>
      <c r="H14" s="5" t="n">
        <f aca="false">G14*Inputs!$B$19</f>
        <v>688.59648</v>
      </c>
      <c r="I14" s="5" t="n">
        <f aca="false">G14*Inputs!$B$20</f>
        <v>332.821632</v>
      </c>
      <c r="J14" s="5" t="n">
        <f aca="false">G14-H14-I14</f>
        <v>10455.189888</v>
      </c>
      <c r="K14" s="5" t="n">
        <f aca="false">IF(A14&gt;=Inputs!$B$14,Inputs!$B$15,0)</f>
        <v>0</v>
      </c>
      <c r="L14" s="5" t="n">
        <f aca="false">Inputs!$B$18</f>
        <v>3500</v>
      </c>
      <c r="M14" s="5" t="n">
        <f aca="false">Inputs!$B$21*IF(A14&gt;=Inputs!$B$14,1.6,1)</f>
        <v>900</v>
      </c>
      <c r="N14" s="5" t="n">
        <f aca="false">Inputs!$B$22</f>
        <v>350</v>
      </c>
      <c r="O14" s="5" t="n">
        <f aca="false">Inputs!$B$23</f>
        <v>250</v>
      </c>
      <c r="P14" s="5" t="n">
        <f aca="false">Inputs!$B$24</f>
        <v>80</v>
      </c>
      <c r="Q14" s="5" t="n">
        <f aca="false">IF(A14&lt;=6,Inputs!$B$25,Inputs!$B$26)</f>
        <v>350</v>
      </c>
      <c r="R14" s="5" t="n">
        <f aca="false">Inputs!$B$27</f>
        <v>60</v>
      </c>
      <c r="S14" s="5" t="n">
        <f aca="false">Inputs!$B$28</f>
        <v>150</v>
      </c>
      <c r="T14" s="5" t="n">
        <f aca="false">IF(A14&gt;=Inputs!$B$14,Inputs!$B$17,0)</f>
        <v>0</v>
      </c>
      <c r="U14" s="5" t="n">
        <f aca="false">Inputs!$B$29</f>
        <v>50</v>
      </c>
      <c r="V14" s="5" t="n">
        <f aca="false">SUM(K14:U14)</f>
        <v>5690</v>
      </c>
      <c r="W14" s="5" t="n">
        <f aca="false">J14-V14</f>
        <v>4765.189888</v>
      </c>
      <c r="X14" s="5" t="n">
        <f aca="false">Inputs!$B$30/(Inputs!$B$31*12)</f>
        <v>1350</v>
      </c>
      <c r="Y14" s="5" t="n">
        <f aca="false">IPMT(Inputs!$B$5/12,A14,Inputs!$B$6*12,-Inputs!$B$4)</f>
        <v>699.316247306891</v>
      </c>
      <c r="Z14" s="5" t="n">
        <f aca="false">W14-X14-Y14</f>
        <v>2715.87364069311</v>
      </c>
      <c r="AA14" s="5" t="n">
        <f aca="false">PPMT(Inputs!$B$5/12,A14,Inputs!$B$6*12,-Inputs!$B$4)</f>
        <v>447.631225285259</v>
      </c>
      <c r="AB14" s="5" t="n">
        <f aca="false">W14-Y14-AA14</f>
        <v>3618.24241540785</v>
      </c>
      <c r="AC14" s="5" t="n">
        <f aca="false">AC13+AB14</f>
        <v>30236.2929443021</v>
      </c>
    </row>
    <row r="15" customFormat="false" ht="15" hidden="false" customHeight="false" outlineLevel="0" collapsed="false">
      <c r="A15" s="0" t="n">
        <v>14</v>
      </c>
      <c r="B15" s="0" t="n">
        <f aca="false">INT((A15-1)/12)+1</f>
        <v>2</v>
      </c>
      <c r="C15" s="4" t="n">
        <f aca="false">Inputs!$B$12</f>
        <v>0.88</v>
      </c>
      <c r="D15" s="5" t="n">
        <f aca="false">Inputs!$B$8*(1+Inputs!$B$9)^(B15-1)</f>
        <v>98.8</v>
      </c>
      <c r="E15" s="5" t="n">
        <f aca="false">Inputs!$B$10*Inputs!$B$11*C15</f>
        <v>116.16</v>
      </c>
      <c r="F15" s="5" t="n">
        <f aca="false">IF(A15&gt;=Inputs!$B$14,Inputs!$B$16*Inputs!$B$11*C15,0)</f>
        <v>0</v>
      </c>
      <c r="G15" s="5" t="n">
        <f aca="false">(E15+F15)*D15</f>
        <v>11476.608</v>
      </c>
      <c r="H15" s="5" t="n">
        <f aca="false">G15*Inputs!$B$19</f>
        <v>688.59648</v>
      </c>
      <c r="I15" s="5" t="n">
        <f aca="false">G15*Inputs!$B$20</f>
        <v>332.821632</v>
      </c>
      <c r="J15" s="5" t="n">
        <f aca="false">G15-H15-I15</f>
        <v>10455.189888</v>
      </c>
      <c r="K15" s="5" t="n">
        <f aca="false">IF(A15&gt;=Inputs!$B$14,Inputs!$B$15,0)</f>
        <v>0</v>
      </c>
      <c r="L15" s="5" t="n">
        <f aca="false">Inputs!$B$18</f>
        <v>3500</v>
      </c>
      <c r="M15" s="5" t="n">
        <f aca="false">Inputs!$B$21*IF(A15&gt;=Inputs!$B$14,1.6,1)</f>
        <v>900</v>
      </c>
      <c r="N15" s="5" t="n">
        <f aca="false">Inputs!$B$22</f>
        <v>350</v>
      </c>
      <c r="O15" s="5" t="n">
        <f aca="false">Inputs!$B$23</f>
        <v>250</v>
      </c>
      <c r="P15" s="5" t="n">
        <f aca="false">Inputs!$B$24</f>
        <v>80</v>
      </c>
      <c r="Q15" s="5" t="n">
        <f aca="false">IF(A15&lt;=6,Inputs!$B$25,Inputs!$B$26)</f>
        <v>350</v>
      </c>
      <c r="R15" s="5" t="n">
        <f aca="false">Inputs!$B$27</f>
        <v>60</v>
      </c>
      <c r="S15" s="5" t="n">
        <f aca="false">Inputs!$B$28</f>
        <v>150</v>
      </c>
      <c r="T15" s="5" t="n">
        <f aca="false">IF(A15&gt;=Inputs!$B$14,Inputs!$B$17,0)</f>
        <v>0</v>
      </c>
      <c r="U15" s="5" t="n">
        <f aca="false">Inputs!$B$29</f>
        <v>50</v>
      </c>
      <c r="V15" s="5" t="n">
        <f aca="false">SUM(K15:U15)</f>
        <v>5690</v>
      </c>
      <c r="W15" s="5" t="n">
        <f aca="false">J15-V15</f>
        <v>4765.189888</v>
      </c>
      <c r="X15" s="5" t="n">
        <f aca="false">Inputs!$B$30/(Inputs!$B$31*12)</f>
        <v>1350</v>
      </c>
      <c r="Y15" s="5" t="n">
        <f aca="false">IPMT(Inputs!$B$5/12,A15,Inputs!$B$6*12,-Inputs!$B$4)</f>
        <v>695.399474085645</v>
      </c>
      <c r="Z15" s="5" t="n">
        <f aca="false">W15-X15-Y15</f>
        <v>2719.79041391436</v>
      </c>
      <c r="AA15" s="5" t="n">
        <f aca="false">PPMT(Inputs!$B$5/12,A15,Inputs!$B$6*12,-Inputs!$B$4)</f>
        <v>451.547998506505</v>
      </c>
      <c r="AB15" s="5" t="n">
        <f aca="false">W15-Y15-AA15</f>
        <v>3618.24241540785</v>
      </c>
      <c r="AC15" s="5" t="n">
        <f aca="false">AC14+AB15</f>
        <v>33854.5353597099</v>
      </c>
    </row>
    <row r="16" customFormat="false" ht="15" hidden="false" customHeight="false" outlineLevel="0" collapsed="false">
      <c r="A16" s="0" t="n">
        <v>15</v>
      </c>
      <c r="B16" s="0" t="n">
        <f aca="false">INT((A16-1)/12)+1</f>
        <v>2</v>
      </c>
      <c r="C16" s="4" t="n">
        <f aca="false">Inputs!$B$12</f>
        <v>0.88</v>
      </c>
      <c r="D16" s="5" t="n">
        <f aca="false">Inputs!$B$8*(1+Inputs!$B$9)^(B16-1)</f>
        <v>98.8</v>
      </c>
      <c r="E16" s="5" t="n">
        <f aca="false">Inputs!$B$10*Inputs!$B$11*C16</f>
        <v>116.16</v>
      </c>
      <c r="F16" s="5" t="n">
        <f aca="false">IF(A16&gt;=Inputs!$B$14,Inputs!$B$16*Inputs!$B$11*C16,0)</f>
        <v>0</v>
      </c>
      <c r="G16" s="5" t="n">
        <f aca="false">(E16+F16)*D16</f>
        <v>11476.608</v>
      </c>
      <c r="H16" s="5" t="n">
        <f aca="false">G16*Inputs!$B$19</f>
        <v>688.59648</v>
      </c>
      <c r="I16" s="5" t="n">
        <f aca="false">G16*Inputs!$B$20</f>
        <v>332.821632</v>
      </c>
      <c r="J16" s="5" t="n">
        <f aca="false">G16-H16-I16</f>
        <v>10455.189888</v>
      </c>
      <c r="K16" s="5" t="n">
        <f aca="false">IF(A16&gt;=Inputs!$B$14,Inputs!$B$15,0)</f>
        <v>0</v>
      </c>
      <c r="L16" s="5" t="n">
        <f aca="false">Inputs!$B$18</f>
        <v>3500</v>
      </c>
      <c r="M16" s="5" t="n">
        <f aca="false">Inputs!$B$21*IF(A16&gt;=Inputs!$B$14,1.6,1)</f>
        <v>900</v>
      </c>
      <c r="N16" s="5" t="n">
        <f aca="false">Inputs!$B$22</f>
        <v>350</v>
      </c>
      <c r="O16" s="5" t="n">
        <f aca="false">Inputs!$B$23</f>
        <v>250</v>
      </c>
      <c r="P16" s="5" t="n">
        <f aca="false">Inputs!$B$24</f>
        <v>80</v>
      </c>
      <c r="Q16" s="5" t="n">
        <f aca="false">IF(A16&lt;=6,Inputs!$B$25,Inputs!$B$26)</f>
        <v>350</v>
      </c>
      <c r="R16" s="5" t="n">
        <f aca="false">Inputs!$B$27</f>
        <v>60</v>
      </c>
      <c r="S16" s="5" t="n">
        <f aca="false">Inputs!$B$28</f>
        <v>150</v>
      </c>
      <c r="T16" s="5" t="n">
        <f aca="false">IF(A16&gt;=Inputs!$B$14,Inputs!$B$17,0)</f>
        <v>0</v>
      </c>
      <c r="U16" s="5" t="n">
        <f aca="false">Inputs!$B$29</f>
        <v>50</v>
      </c>
      <c r="V16" s="5" t="n">
        <f aca="false">SUM(K16:U16)</f>
        <v>5690</v>
      </c>
      <c r="W16" s="5" t="n">
        <f aca="false">J16-V16</f>
        <v>4765.189888</v>
      </c>
      <c r="X16" s="5" t="n">
        <f aca="false">Inputs!$B$30/(Inputs!$B$31*12)</f>
        <v>1350</v>
      </c>
      <c r="Y16" s="5" t="n">
        <f aca="false">IPMT(Inputs!$B$5/12,A16,Inputs!$B$6*12,-Inputs!$B$4)</f>
        <v>691.448429098713</v>
      </c>
      <c r="Z16" s="5" t="n">
        <f aca="false">W16-X16-Y16</f>
        <v>2723.74145890129</v>
      </c>
      <c r="AA16" s="5" t="n">
        <f aca="false">PPMT(Inputs!$B$5/12,A16,Inputs!$B$6*12,-Inputs!$B$4)</f>
        <v>455.499043493437</v>
      </c>
      <c r="AB16" s="5" t="n">
        <f aca="false">W16-Y16-AA16</f>
        <v>3618.24241540785</v>
      </c>
      <c r="AC16" s="5" t="n">
        <f aca="false">AC15+AB16</f>
        <v>37472.7777751178</v>
      </c>
    </row>
    <row r="17" customFormat="false" ht="15" hidden="false" customHeight="false" outlineLevel="0" collapsed="false">
      <c r="A17" s="0" t="n">
        <v>16</v>
      </c>
      <c r="B17" s="0" t="n">
        <f aca="false">INT((A17-1)/12)+1</f>
        <v>2</v>
      </c>
      <c r="C17" s="4" t="n">
        <f aca="false">Inputs!$B$12</f>
        <v>0.88</v>
      </c>
      <c r="D17" s="5" t="n">
        <f aca="false">Inputs!$B$8*(1+Inputs!$B$9)^(B17-1)</f>
        <v>98.8</v>
      </c>
      <c r="E17" s="5" t="n">
        <f aca="false">Inputs!$B$10*Inputs!$B$11*C17</f>
        <v>116.16</v>
      </c>
      <c r="F17" s="5" t="n">
        <f aca="false">IF(A17&gt;=Inputs!$B$14,Inputs!$B$16*Inputs!$B$11*C17,0)</f>
        <v>0</v>
      </c>
      <c r="G17" s="5" t="n">
        <f aca="false">(E17+F17)*D17</f>
        <v>11476.608</v>
      </c>
      <c r="H17" s="5" t="n">
        <f aca="false">G17*Inputs!$B$19</f>
        <v>688.59648</v>
      </c>
      <c r="I17" s="5" t="n">
        <f aca="false">G17*Inputs!$B$20</f>
        <v>332.821632</v>
      </c>
      <c r="J17" s="5" t="n">
        <f aca="false">G17-H17-I17</f>
        <v>10455.189888</v>
      </c>
      <c r="K17" s="5" t="n">
        <f aca="false">IF(A17&gt;=Inputs!$B$14,Inputs!$B$15,0)</f>
        <v>0</v>
      </c>
      <c r="L17" s="5" t="n">
        <f aca="false">Inputs!$B$18</f>
        <v>3500</v>
      </c>
      <c r="M17" s="5" t="n">
        <f aca="false">Inputs!$B$21*IF(A17&gt;=Inputs!$B$14,1.6,1)</f>
        <v>900</v>
      </c>
      <c r="N17" s="5" t="n">
        <f aca="false">Inputs!$B$22</f>
        <v>350</v>
      </c>
      <c r="O17" s="5" t="n">
        <f aca="false">Inputs!$B$23</f>
        <v>250</v>
      </c>
      <c r="P17" s="5" t="n">
        <f aca="false">Inputs!$B$24</f>
        <v>80</v>
      </c>
      <c r="Q17" s="5" t="n">
        <f aca="false">IF(A17&lt;=6,Inputs!$B$25,Inputs!$B$26)</f>
        <v>350</v>
      </c>
      <c r="R17" s="5" t="n">
        <f aca="false">Inputs!$B$27</f>
        <v>60</v>
      </c>
      <c r="S17" s="5" t="n">
        <f aca="false">Inputs!$B$28</f>
        <v>150</v>
      </c>
      <c r="T17" s="5" t="n">
        <f aca="false">IF(A17&gt;=Inputs!$B$14,Inputs!$B$17,0)</f>
        <v>0</v>
      </c>
      <c r="U17" s="5" t="n">
        <f aca="false">Inputs!$B$29</f>
        <v>50</v>
      </c>
      <c r="V17" s="5" t="n">
        <f aca="false">SUM(K17:U17)</f>
        <v>5690</v>
      </c>
      <c r="W17" s="5" t="n">
        <f aca="false">J17-V17</f>
        <v>4765.189888</v>
      </c>
      <c r="X17" s="5" t="n">
        <f aca="false">Inputs!$B$30/(Inputs!$B$31*12)</f>
        <v>1350</v>
      </c>
      <c r="Y17" s="5" t="n">
        <f aca="false">IPMT(Inputs!$B$5/12,A17,Inputs!$B$6*12,-Inputs!$B$4)</f>
        <v>687.462812468145</v>
      </c>
      <c r="Z17" s="5" t="n">
        <f aca="false">W17-X17-Y17</f>
        <v>2727.72707553186</v>
      </c>
      <c r="AA17" s="5" t="n">
        <f aca="false">PPMT(Inputs!$B$5/12,A17,Inputs!$B$6*12,-Inputs!$B$4)</f>
        <v>459.484660124004</v>
      </c>
      <c r="AB17" s="5" t="n">
        <f aca="false">W17-Y17-AA17</f>
        <v>3618.24241540785</v>
      </c>
      <c r="AC17" s="5" t="n">
        <f aca="false">AC16+AB17</f>
        <v>41091.0201905256</v>
      </c>
    </row>
    <row r="18" customFormat="false" ht="15" hidden="false" customHeight="false" outlineLevel="0" collapsed="false">
      <c r="A18" s="0" t="n">
        <v>17</v>
      </c>
      <c r="B18" s="0" t="n">
        <f aca="false">INT((A18-1)/12)+1</f>
        <v>2</v>
      </c>
      <c r="C18" s="4" t="n">
        <f aca="false">Inputs!$B$12</f>
        <v>0.88</v>
      </c>
      <c r="D18" s="5" t="n">
        <f aca="false">Inputs!$B$8*(1+Inputs!$B$9)^(B18-1)</f>
        <v>98.8</v>
      </c>
      <c r="E18" s="5" t="n">
        <f aca="false">Inputs!$B$10*Inputs!$B$11*C18</f>
        <v>116.16</v>
      </c>
      <c r="F18" s="5" t="n">
        <f aca="false">IF(A18&gt;=Inputs!$B$14,Inputs!$B$16*Inputs!$B$11*C18,0)</f>
        <v>0</v>
      </c>
      <c r="G18" s="5" t="n">
        <f aca="false">(E18+F18)*D18</f>
        <v>11476.608</v>
      </c>
      <c r="H18" s="5" t="n">
        <f aca="false">G18*Inputs!$B$19</f>
        <v>688.59648</v>
      </c>
      <c r="I18" s="5" t="n">
        <f aca="false">G18*Inputs!$B$20</f>
        <v>332.821632</v>
      </c>
      <c r="J18" s="5" t="n">
        <f aca="false">G18-H18-I18</f>
        <v>10455.189888</v>
      </c>
      <c r="K18" s="5" t="n">
        <f aca="false">IF(A18&gt;=Inputs!$B$14,Inputs!$B$15,0)</f>
        <v>0</v>
      </c>
      <c r="L18" s="5" t="n">
        <f aca="false">Inputs!$B$18</f>
        <v>3500</v>
      </c>
      <c r="M18" s="5" t="n">
        <f aca="false">Inputs!$B$21*IF(A18&gt;=Inputs!$B$14,1.6,1)</f>
        <v>900</v>
      </c>
      <c r="N18" s="5" t="n">
        <f aca="false">Inputs!$B$22</f>
        <v>350</v>
      </c>
      <c r="O18" s="5" t="n">
        <f aca="false">Inputs!$B$23</f>
        <v>250</v>
      </c>
      <c r="P18" s="5" t="n">
        <f aca="false">Inputs!$B$24</f>
        <v>80</v>
      </c>
      <c r="Q18" s="5" t="n">
        <f aca="false">IF(A18&lt;=6,Inputs!$B$25,Inputs!$B$26)</f>
        <v>350</v>
      </c>
      <c r="R18" s="5" t="n">
        <f aca="false">Inputs!$B$27</f>
        <v>60</v>
      </c>
      <c r="S18" s="5" t="n">
        <f aca="false">Inputs!$B$28</f>
        <v>150</v>
      </c>
      <c r="T18" s="5" t="n">
        <f aca="false">IF(A18&gt;=Inputs!$B$14,Inputs!$B$17,0)</f>
        <v>0</v>
      </c>
      <c r="U18" s="5" t="n">
        <f aca="false">Inputs!$B$29</f>
        <v>50</v>
      </c>
      <c r="V18" s="5" t="n">
        <f aca="false">SUM(K18:U18)</f>
        <v>5690</v>
      </c>
      <c r="W18" s="5" t="n">
        <f aca="false">J18-V18</f>
        <v>4765.189888</v>
      </c>
      <c r="X18" s="5" t="n">
        <f aca="false">Inputs!$B$30/(Inputs!$B$31*12)</f>
        <v>1350</v>
      </c>
      <c r="Y18" s="5" t="n">
        <f aca="false">IPMT(Inputs!$B$5/12,A18,Inputs!$B$6*12,-Inputs!$B$4)</f>
        <v>683.44232169206</v>
      </c>
      <c r="Z18" s="5" t="n">
        <f aca="false">W18-X18-Y18</f>
        <v>2731.74756630794</v>
      </c>
      <c r="AA18" s="5" t="n">
        <f aca="false">PPMT(Inputs!$B$5/12,A18,Inputs!$B$6*12,-Inputs!$B$4)</f>
        <v>463.505150900089</v>
      </c>
      <c r="AB18" s="5" t="n">
        <f aca="false">W18-Y18-AA18</f>
        <v>3618.24241540785</v>
      </c>
      <c r="AC18" s="5" t="n">
        <f aca="false">AC17+AB18</f>
        <v>44709.2626059335</v>
      </c>
    </row>
    <row r="19" customFormat="false" ht="15" hidden="false" customHeight="false" outlineLevel="0" collapsed="false">
      <c r="A19" s="0" t="n">
        <v>18</v>
      </c>
      <c r="B19" s="0" t="n">
        <f aca="false">INT((A19-1)/12)+1</f>
        <v>2</v>
      </c>
      <c r="C19" s="4" t="n">
        <f aca="false">Inputs!$B$12</f>
        <v>0.88</v>
      </c>
      <c r="D19" s="5" t="n">
        <f aca="false">Inputs!$B$8*(1+Inputs!$B$9)^(B19-1)</f>
        <v>98.8</v>
      </c>
      <c r="E19" s="5" t="n">
        <f aca="false">Inputs!$B$10*Inputs!$B$11*C19</f>
        <v>116.16</v>
      </c>
      <c r="F19" s="5" t="n">
        <f aca="false">IF(A19&gt;=Inputs!$B$14,Inputs!$B$16*Inputs!$B$11*C19,0)</f>
        <v>0</v>
      </c>
      <c r="G19" s="5" t="n">
        <f aca="false">(E19+F19)*D19</f>
        <v>11476.608</v>
      </c>
      <c r="H19" s="5" t="n">
        <f aca="false">G19*Inputs!$B$19</f>
        <v>688.59648</v>
      </c>
      <c r="I19" s="5" t="n">
        <f aca="false">G19*Inputs!$B$20</f>
        <v>332.821632</v>
      </c>
      <c r="J19" s="5" t="n">
        <f aca="false">G19-H19-I19</f>
        <v>10455.189888</v>
      </c>
      <c r="K19" s="5" t="n">
        <f aca="false">IF(A19&gt;=Inputs!$B$14,Inputs!$B$15,0)</f>
        <v>0</v>
      </c>
      <c r="L19" s="5" t="n">
        <f aca="false">Inputs!$B$18</f>
        <v>3500</v>
      </c>
      <c r="M19" s="5" t="n">
        <f aca="false">Inputs!$B$21*IF(A19&gt;=Inputs!$B$14,1.6,1)</f>
        <v>900</v>
      </c>
      <c r="N19" s="5" t="n">
        <f aca="false">Inputs!$B$22</f>
        <v>350</v>
      </c>
      <c r="O19" s="5" t="n">
        <f aca="false">Inputs!$B$23</f>
        <v>250</v>
      </c>
      <c r="P19" s="5" t="n">
        <f aca="false">Inputs!$B$24</f>
        <v>80</v>
      </c>
      <c r="Q19" s="5" t="n">
        <f aca="false">IF(A19&lt;=6,Inputs!$B$25,Inputs!$B$26)</f>
        <v>350</v>
      </c>
      <c r="R19" s="5" t="n">
        <f aca="false">Inputs!$B$27</f>
        <v>60</v>
      </c>
      <c r="S19" s="5" t="n">
        <f aca="false">Inputs!$B$28</f>
        <v>150</v>
      </c>
      <c r="T19" s="5" t="n">
        <f aca="false">IF(A19&gt;=Inputs!$B$14,Inputs!$B$17,0)</f>
        <v>0</v>
      </c>
      <c r="U19" s="5" t="n">
        <f aca="false">Inputs!$B$29</f>
        <v>50</v>
      </c>
      <c r="V19" s="5" t="n">
        <f aca="false">SUM(K19:U19)</f>
        <v>5690</v>
      </c>
      <c r="W19" s="5" t="n">
        <f aca="false">J19-V19</f>
        <v>4765.189888</v>
      </c>
      <c r="X19" s="5" t="n">
        <f aca="false">Inputs!$B$30/(Inputs!$B$31*12)</f>
        <v>1350</v>
      </c>
      <c r="Y19" s="5" t="n">
        <f aca="false">IPMT(Inputs!$B$5/12,A19,Inputs!$B$6*12,-Inputs!$B$4)</f>
        <v>679.386651621684</v>
      </c>
      <c r="Z19" s="5" t="n">
        <f aca="false">W19-X19-Y19</f>
        <v>2735.80323637832</v>
      </c>
      <c r="AA19" s="5" t="n">
        <f aca="false">PPMT(Inputs!$B$5/12,A19,Inputs!$B$6*12,-Inputs!$B$4)</f>
        <v>467.560820970465</v>
      </c>
      <c r="AB19" s="5" t="n">
        <f aca="false">W19-Y19-AA19</f>
        <v>3618.24241540785</v>
      </c>
      <c r="AC19" s="5" t="n">
        <f aca="false">AC18+AB19</f>
        <v>48327.5050213413</v>
      </c>
    </row>
    <row r="20" customFormat="false" ht="15" hidden="false" customHeight="false" outlineLevel="0" collapsed="false">
      <c r="A20" s="0" t="n">
        <v>19</v>
      </c>
      <c r="B20" s="0" t="n">
        <f aca="false">INT((A20-1)/12)+1</f>
        <v>2</v>
      </c>
      <c r="C20" s="4" t="n">
        <f aca="false">Inputs!$B$12</f>
        <v>0.88</v>
      </c>
      <c r="D20" s="5" t="n">
        <f aca="false">Inputs!$B$8*(1+Inputs!$B$9)^(B20-1)</f>
        <v>98.8</v>
      </c>
      <c r="E20" s="5" t="n">
        <f aca="false">Inputs!$B$10*Inputs!$B$11*C20</f>
        <v>116.16</v>
      </c>
      <c r="F20" s="5" t="n">
        <f aca="false">IF(A20&gt;=Inputs!$B$14,Inputs!$B$16*Inputs!$B$11*C20,0)</f>
        <v>0</v>
      </c>
      <c r="G20" s="5" t="n">
        <f aca="false">(E20+F20)*D20</f>
        <v>11476.608</v>
      </c>
      <c r="H20" s="5" t="n">
        <f aca="false">G20*Inputs!$B$19</f>
        <v>688.59648</v>
      </c>
      <c r="I20" s="5" t="n">
        <f aca="false">G20*Inputs!$B$20</f>
        <v>332.821632</v>
      </c>
      <c r="J20" s="5" t="n">
        <f aca="false">G20-H20-I20</f>
        <v>10455.189888</v>
      </c>
      <c r="K20" s="5" t="n">
        <f aca="false">IF(A20&gt;=Inputs!$B$14,Inputs!$B$15,0)</f>
        <v>0</v>
      </c>
      <c r="L20" s="5" t="n">
        <f aca="false">Inputs!$B$18</f>
        <v>3500</v>
      </c>
      <c r="M20" s="5" t="n">
        <f aca="false">Inputs!$B$21*IF(A20&gt;=Inputs!$B$14,1.6,1)</f>
        <v>900</v>
      </c>
      <c r="N20" s="5" t="n">
        <f aca="false">Inputs!$B$22</f>
        <v>350</v>
      </c>
      <c r="O20" s="5" t="n">
        <f aca="false">Inputs!$B$23</f>
        <v>250</v>
      </c>
      <c r="P20" s="5" t="n">
        <f aca="false">Inputs!$B$24</f>
        <v>80</v>
      </c>
      <c r="Q20" s="5" t="n">
        <f aca="false">IF(A20&lt;=6,Inputs!$B$25,Inputs!$B$26)</f>
        <v>350</v>
      </c>
      <c r="R20" s="5" t="n">
        <f aca="false">Inputs!$B$27</f>
        <v>60</v>
      </c>
      <c r="S20" s="5" t="n">
        <f aca="false">Inputs!$B$28</f>
        <v>150</v>
      </c>
      <c r="T20" s="5" t="n">
        <f aca="false">IF(A20&gt;=Inputs!$B$14,Inputs!$B$17,0)</f>
        <v>0</v>
      </c>
      <c r="U20" s="5" t="n">
        <f aca="false">Inputs!$B$29</f>
        <v>50</v>
      </c>
      <c r="V20" s="5" t="n">
        <f aca="false">SUM(K20:U20)</f>
        <v>5690</v>
      </c>
      <c r="W20" s="5" t="n">
        <f aca="false">J20-V20</f>
        <v>4765.189888</v>
      </c>
      <c r="X20" s="5" t="n">
        <f aca="false">Inputs!$B$30/(Inputs!$B$31*12)</f>
        <v>1350</v>
      </c>
      <c r="Y20" s="5" t="n">
        <f aca="false">IPMT(Inputs!$B$5/12,A20,Inputs!$B$6*12,-Inputs!$B$4)</f>
        <v>675.295494438193</v>
      </c>
      <c r="Z20" s="5" t="n">
        <f aca="false">W20-X20-Y20</f>
        <v>2739.89439356181</v>
      </c>
      <c r="AA20" s="5" t="n">
        <f aca="false">PPMT(Inputs!$B$5/12,A20,Inputs!$B$6*12,-Inputs!$B$4)</f>
        <v>471.651978153957</v>
      </c>
      <c r="AB20" s="5" t="n">
        <f aca="false">W20-Y20-AA20</f>
        <v>3618.24241540785</v>
      </c>
      <c r="AC20" s="5" t="n">
        <f aca="false">AC19+AB20</f>
        <v>51945.7474367492</v>
      </c>
    </row>
    <row r="21" customFormat="false" ht="15" hidden="false" customHeight="false" outlineLevel="0" collapsed="false">
      <c r="A21" s="0" t="n">
        <v>20</v>
      </c>
      <c r="B21" s="0" t="n">
        <f aca="false">INT((A21-1)/12)+1</f>
        <v>2</v>
      </c>
      <c r="C21" s="4" t="n">
        <f aca="false">Inputs!$B$12</f>
        <v>0.88</v>
      </c>
      <c r="D21" s="5" t="n">
        <f aca="false">Inputs!$B$8*(1+Inputs!$B$9)^(B21-1)</f>
        <v>98.8</v>
      </c>
      <c r="E21" s="5" t="n">
        <f aca="false">Inputs!$B$10*Inputs!$B$11*C21</f>
        <v>116.16</v>
      </c>
      <c r="F21" s="5" t="n">
        <f aca="false">IF(A21&gt;=Inputs!$B$14,Inputs!$B$16*Inputs!$B$11*C21,0)</f>
        <v>0</v>
      </c>
      <c r="G21" s="5" t="n">
        <f aca="false">(E21+F21)*D21</f>
        <v>11476.608</v>
      </c>
      <c r="H21" s="5" t="n">
        <f aca="false">G21*Inputs!$B$19</f>
        <v>688.59648</v>
      </c>
      <c r="I21" s="5" t="n">
        <f aca="false">G21*Inputs!$B$20</f>
        <v>332.821632</v>
      </c>
      <c r="J21" s="5" t="n">
        <f aca="false">G21-H21-I21</f>
        <v>10455.189888</v>
      </c>
      <c r="K21" s="5" t="n">
        <f aca="false">IF(A21&gt;=Inputs!$B$14,Inputs!$B$15,0)</f>
        <v>0</v>
      </c>
      <c r="L21" s="5" t="n">
        <f aca="false">Inputs!$B$18</f>
        <v>3500</v>
      </c>
      <c r="M21" s="5" t="n">
        <f aca="false">Inputs!$B$21*IF(A21&gt;=Inputs!$B$14,1.6,1)</f>
        <v>900</v>
      </c>
      <c r="N21" s="5" t="n">
        <f aca="false">Inputs!$B$22</f>
        <v>350</v>
      </c>
      <c r="O21" s="5" t="n">
        <f aca="false">Inputs!$B$23</f>
        <v>250</v>
      </c>
      <c r="P21" s="5" t="n">
        <f aca="false">Inputs!$B$24</f>
        <v>80</v>
      </c>
      <c r="Q21" s="5" t="n">
        <f aca="false">IF(A21&lt;=6,Inputs!$B$25,Inputs!$B$26)</f>
        <v>350</v>
      </c>
      <c r="R21" s="5" t="n">
        <f aca="false">Inputs!$B$27</f>
        <v>60</v>
      </c>
      <c r="S21" s="5" t="n">
        <f aca="false">Inputs!$B$28</f>
        <v>150</v>
      </c>
      <c r="T21" s="5" t="n">
        <f aca="false">IF(A21&gt;=Inputs!$B$14,Inputs!$B$17,0)</f>
        <v>0</v>
      </c>
      <c r="U21" s="5" t="n">
        <f aca="false">Inputs!$B$29</f>
        <v>50</v>
      </c>
      <c r="V21" s="5" t="n">
        <f aca="false">SUM(K21:U21)</f>
        <v>5690</v>
      </c>
      <c r="W21" s="5" t="n">
        <f aca="false">J21-V21</f>
        <v>4765.189888</v>
      </c>
      <c r="X21" s="5" t="n">
        <f aca="false">Inputs!$B$30/(Inputs!$B$31*12)</f>
        <v>1350</v>
      </c>
      <c r="Y21" s="5" t="n">
        <f aca="false">IPMT(Inputs!$B$5/12,A21,Inputs!$B$6*12,-Inputs!$B$4)</f>
        <v>671.168539629346</v>
      </c>
      <c r="Z21" s="5" t="n">
        <f aca="false">W21-X21-Y21</f>
        <v>2744.02134837066</v>
      </c>
      <c r="AA21" s="5" t="n">
        <f aca="false">PPMT(Inputs!$B$5/12,A21,Inputs!$B$6*12,-Inputs!$B$4)</f>
        <v>475.778932962804</v>
      </c>
      <c r="AB21" s="5" t="n">
        <f aca="false">W21-Y21-AA21</f>
        <v>3618.24241540785</v>
      </c>
      <c r="AC21" s="5" t="n">
        <f aca="false">AC20+AB21</f>
        <v>55563.989852157</v>
      </c>
    </row>
    <row r="22" customFormat="false" ht="15" hidden="false" customHeight="false" outlineLevel="0" collapsed="false">
      <c r="A22" s="0" t="n">
        <v>21</v>
      </c>
      <c r="B22" s="0" t="n">
        <f aca="false">INT((A22-1)/12)+1</f>
        <v>2</v>
      </c>
      <c r="C22" s="4" t="n">
        <f aca="false">Inputs!$B$12</f>
        <v>0.88</v>
      </c>
      <c r="D22" s="5" t="n">
        <f aca="false">Inputs!$B$8*(1+Inputs!$B$9)^(B22-1)</f>
        <v>98.8</v>
      </c>
      <c r="E22" s="5" t="n">
        <f aca="false">Inputs!$B$10*Inputs!$B$11*C22</f>
        <v>116.16</v>
      </c>
      <c r="F22" s="5" t="n">
        <f aca="false">IF(A22&gt;=Inputs!$B$14,Inputs!$B$16*Inputs!$B$11*C22,0)</f>
        <v>0</v>
      </c>
      <c r="G22" s="5" t="n">
        <f aca="false">(E22+F22)*D22</f>
        <v>11476.608</v>
      </c>
      <c r="H22" s="5" t="n">
        <f aca="false">G22*Inputs!$B$19</f>
        <v>688.59648</v>
      </c>
      <c r="I22" s="5" t="n">
        <f aca="false">G22*Inputs!$B$20</f>
        <v>332.821632</v>
      </c>
      <c r="J22" s="5" t="n">
        <f aca="false">G22-H22-I22</f>
        <v>10455.189888</v>
      </c>
      <c r="K22" s="5" t="n">
        <f aca="false">IF(A22&gt;=Inputs!$B$14,Inputs!$B$15,0)</f>
        <v>0</v>
      </c>
      <c r="L22" s="5" t="n">
        <f aca="false">Inputs!$B$18</f>
        <v>3500</v>
      </c>
      <c r="M22" s="5" t="n">
        <f aca="false">Inputs!$B$21*IF(A22&gt;=Inputs!$B$14,1.6,1)</f>
        <v>900</v>
      </c>
      <c r="N22" s="5" t="n">
        <f aca="false">Inputs!$B$22</f>
        <v>350</v>
      </c>
      <c r="O22" s="5" t="n">
        <f aca="false">Inputs!$B$23</f>
        <v>250</v>
      </c>
      <c r="P22" s="5" t="n">
        <f aca="false">Inputs!$B$24</f>
        <v>80</v>
      </c>
      <c r="Q22" s="5" t="n">
        <f aca="false">IF(A22&lt;=6,Inputs!$B$25,Inputs!$B$26)</f>
        <v>350</v>
      </c>
      <c r="R22" s="5" t="n">
        <f aca="false">Inputs!$B$27</f>
        <v>60</v>
      </c>
      <c r="S22" s="5" t="n">
        <f aca="false">Inputs!$B$28</f>
        <v>150</v>
      </c>
      <c r="T22" s="5" t="n">
        <f aca="false">IF(A22&gt;=Inputs!$B$14,Inputs!$B$17,0)</f>
        <v>0</v>
      </c>
      <c r="U22" s="5" t="n">
        <f aca="false">Inputs!$B$29</f>
        <v>50</v>
      </c>
      <c r="V22" s="5" t="n">
        <f aca="false">SUM(K22:U22)</f>
        <v>5690</v>
      </c>
      <c r="W22" s="5" t="n">
        <f aca="false">J22-V22</f>
        <v>4765.189888</v>
      </c>
      <c r="X22" s="5" t="n">
        <f aca="false">Inputs!$B$30/(Inputs!$B$31*12)</f>
        <v>1350</v>
      </c>
      <c r="Y22" s="5" t="n">
        <f aca="false">IPMT(Inputs!$B$5/12,A22,Inputs!$B$6*12,-Inputs!$B$4)</f>
        <v>667.005473965921</v>
      </c>
      <c r="Z22" s="5" t="n">
        <f aca="false">W22-X22-Y22</f>
        <v>2748.18441403408</v>
      </c>
      <c r="AA22" s="5" t="n">
        <f aca="false">PPMT(Inputs!$B$5/12,A22,Inputs!$B$6*12,-Inputs!$B$4)</f>
        <v>479.941998626228</v>
      </c>
      <c r="AB22" s="5" t="n">
        <f aca="false">W22-Y22-AA22</f>
        <v>3618.24241540785</v>
      </c>
      <c r="AC22" s="5" t="n">
        <f aca="false">AC21+AB22</f>
        <v>59182.2322675649</v>
      </c>
    </row>
    <row r="23" customFormat="false" ht="15" hidden="false" customHeight="false" outlineLevel="0" collapsed="false">
      <c r="A23" s="0" t="n">
        <v>22</v>
      </c>
      <c r="B23" s="0" t="n">
        <f aca="false">INT((A23-1)/12)+1</f>
        <v>2</v>
      </c>
      <c r="C23" s="4" t="n">
        <f aca="false">Inputs!$B$12</f>
        <v>0.88</v>
      </c>
      <c r="D23" s="5" t="n">
        <f aca="false">Inputs!$B$8*(1+Inputs!$B$9)^(B23-1)</f>
        <v>98.8</v>
      </c>
      <c r="E23" s="5" t="n">
        <f aca="false">Inputs!$B$10*Inputs!$B$11*C23</f>
        <v>116.16</v>
      </c>
      <c r="F23" s="5" t="n">
        <f aca="false">IF(A23&gt;=Inputs!$B$14,Inputs!$B$16*Inputs!$B$11*C23,0)</f>
        <v>0</v>
      </c>
      <c r="G23" s="5" t="n">
        <f aca="false">(E23+F23)*D23</f>
        <v>11476.608</v>
      </c>
      <c r="H23" s="5" t="n">
        <f aca="false">G23*Inputs!$B$19</f>
        <v>688.59648</v>
      </c>
      <c r="I23" s="5" t="n">
        <f aca="false">G23*Inputs!$B$20</f>
        <v>332.821632</v>
      </c>
      <c r="J23" s="5" t="n">
        <f aca="false">G23-H23-I23</f>
        <v>10455.189888</v>
      </c>
      <c r="K23" s="5" t="n">
        <f aca="false">IF(A23&gt;=Inputs!$B$14,Inputs!$B$15,0)</f>
        <v>0</v>
      </c>
      <c r="L23" s="5" t="n">
        <f aca="false">Inputs!$B$18</f>
        <v>3500</v>
      </c>
      <c r="M23" s="5" t="n">
        <f aca="false">Inputs!$B$21*IF(A23&gt;=Inputs!$B$14,1.6,1)</f>
        <v>900</v>
      </c>
      <c r="N23" s="5" t="n">
        <f aca="false">Inputs!$B$22</f>
        <v>350</v>
      </c>
      <c r="O23" s="5" t="n">
        <f aca="false">Inputs!$B$23</f>
        <v>250</v>
      </c>
      <c r="P23" s="5" t="n">
        <f aca="false">Inputs!$B$24</f>
        <v>80</v>
      </c>
      <c r="Q23" s="5" t="n">
        <f aca="false">IF(A23&lt;=6,Inputs!$B$25,Inputs!$B$26)</f>
        <v>350</v>
      </c>
      <c r="R23" s="5" t="n">
        <f aca="false">Inputs!$B$27</f>
        <v>60</v>
      </c>
      <c r="S23" s="5" t="n">
        <f aca="false">Inputs!$B$28</f>
        <v>150</v>
      </c>
      <c r="T23" s="5" t="n">
        <f aca="false">IF(A23&gt;=Inputs!$B$14,Inputs!$B$17,0)</f>
        <v>0</v>
      </c>
      <c r="U23" s="5" t="n">
        <f aca="false">Inputs!$B$29</f>
        <v>50</v>
      </c>
      <c r="V23" s="5" t="n">
        <f aca="false">SUM(K23:U23)</f>
        <v>5690</v>
      </c>
      <c r="W23" s="5" t="n">
        <f aca="false">J23-V23</f>
        <v>4765.189888</v>
      </c>
      <c r="X23" s="5" t="n">
        <f aca="false">Inputs!$B$30/(Inputs!$B$31*12)</f>
        <v>1350</v>
      </c>
      <c r="Y23" s="5" t="n">
        <f aca="false">IPMT(Inputs!$B$5/12,A23,Inputs!$B$6*12,-Inputs!$B$4)</f>
        <v>662.805981477941</v>
      </c>
      <c r="Z23" s="5" t="n">
        <f aca="false">W23-X23-Y23</f>
        <v>2752.38390652206</v>
      </c>
      <c r="AA23" s="5" t="n">
        <f aca="false">PPMT(Inputs!$B$5/12,A23,Inputs!$B$6*12,-Inputs!$B$4)</f>
        <v>484.141491114208</v>
      </c>
      <c r="AB23" s="5" t="n">
        <f aca="false">W23-Y23-AA23</f>
        <v>3618.24241540785</v>
      </c>
      <c r="AC23" s="5" t="n">
        <f aca="false">AC22+AB23</f>
        <v>62800.4746829727</v>
      </c>
    </row>
    <row r="24" customFormat="false" ht="15" hidden="false" customHeight="false" outlineLevel="0" collapsed="false">
      <c r="A24" s="0" t="n">
        <v>23</v>
      </c>
      <c r="B24" s="0" t="n">
        <f aca="false">INT((A24-1)/12)+1</f>
        <v>2</v>
      </c>
      <c r="C24" s="4" t="n">
        <f aca="false">Inputs!$B$12</f>
        <v>0.88</v>
      </c>
      <c r="D24" s="5" t="n">
        <f aca="false">Inputs!$B$8*(1+Inputs!$B$9)^(B24-1)</f>
        <v>98.8</v>
      </c>
      <c r="E24" s="5" t="n">
        <f aca="false">Inputs!$B$10*Inputs!$B$11*C24</f>
        <v>116.16</v>
      </c>
      <c r="F24" s="5" t="n">
        <f aca="false">IF(A24&gt;=Inputs!$B$14,Inputs!$B$16*Inputs!$B$11*C24,0)</f>
        <v>0</v>
      </c>
      <c r="G24" s="5" t="n">
        <f aca="false">(E24+F24)*D24</f>
        <v>11476.608</v>
      </c>
      <c r="H24" s="5" t="n">
        <f aca="false">G24*Inputs!$B$19</f>
        <v>688.59648</v>
      </c>
      <c r="I24" s="5" t="n">
        <f aca="false">G24*Inputs!$B$20</f>
        <v>332.821632</v>
      </c>
      <c r="J24" s="5" t="n">
        <f aca="false">G24-H24-I24</f>
        <v>10455.189888</v>
      </c>
      <c r="K24" s="5" t="n">
        <f aca="false">IF(A24&gt;=Inputs!$B$14,Inputs!$B$15,0)</f>
        <v>0</v>
      </c>
      <c r="L24" s="5" t="n">
        <f aca="false">Inputs!$B$18</f>
        <v>3500</v>
      </c>
      <c r="M24" s="5" t="n">
        <f aca="false">Inputs!$B$21*IF(A24&gt;=Inputs!$B$14,1.6,1)</f>
        <v>900</v>
      </c>
      <c r="N24" s="5" t="n">
        <f aca="false">Inputs!$B$22</f>
        <v>350</v>
      </c>
      <c r="O24" s="5" t="n">
        <f aca="false">Inputs!$B$23</f>
        <v>250</v>
      </c>
      <c r="P24" s="5" t="n">
        <f aca="false">Inputs!$B$24</f>
        <v>80</v>
      </c>
      <c r="Q24" s="5" t="n">
        <f aca="false">IF(A24&lt;=6,Inputs!$B$25,Inputs!$B$26)</f>
        <v>350</v>
      </c>
      <c r="R24" s="5" t="n">
        <f aca="false">Inputs!$B$27</f>
        <v>60</v>
      </c>
      <c r="S24" s="5" t="n">
        <f aca="false">Inputs!$B$28</f>
        <v>150</v>
      </c>
      <c r="T24" s="5" t="n">
        <f aca="false">IF(A24&gt;=Inputs!$B$14,Inputs!$B$17,0)</f>
        <v>0</v>
      </c>
      <c r="U24" s="5" t="n">
        <f aca="false">Inputs!$B$29</f>
        <v>50</v>
      </c>
      <c r="V24" s="5" t="n">
        <f aca="false">SUM(K24:U24)</f>
        <v>5690</v>
      </c>
      <c r="W24" s="5" t="n">
        <f aca="false">J24-V24</f>
        <v>4765.189888</v>
      </c>
      <c r="X24" s="5" t="n">
        <f aca="false">Inputs!$B$30/(Inputs!$B$31*12)</f>
        <v>1350</v>
      </c>
      <c r="Y24" s="5" t="n">
        <f aca="false">IPMT(Inputs!$B$5/12,A24,Inputs!$B$6*12,-Inputs!$B$4)</f>
        <v>658.569743430692</v>
      </c>
      <c r="Z24" s="5" t="n">
        <f aca="false">W24-X24-Y24</f>
        <v>2756.62014456931</v>
      </c>
      <c r="AA24" s="5" t="n">
        <f aca="false">PPMT(Inputs!$B$5/12,A24,Inputs!$B$6*12,-Inputs!$B$4)</f>
        <v>488.377729161457</v>
      </c>
      <c r="AB24" s="5" t="n">
        <f aca="false">W24-Y24-AA24</f>
        <v>3618.24241540785</v>
      </c>
      <c r="AC24" s="5" t="n">
        <f aca="false">AC23+AB24</f>
        <v>66418.7170983806</v>
      </c>
    </row>
    <row r="25" customFormat="false" ht="15" hidden="false" customHeight="false" outlineLevel="0" collapsed="false">
      <c r="A25" s="0" t="n">
        <v>24</v>
      </c>
      <c r="B25" s="0" t="n">
        <f aca="false">INT((A25-1)/12)+1</f>
        <v>2</v>
      </c>
      <c r="C25" s="4" t="n">
        <f aca="false">Inputs!$B$12</f>
        <v>0.88</v>
      </c>
      <c r="D25" s="5" t="n">
        <f aca="false">Inputs!$B$8*(1+Inputs!$B$9)^(B25-1)</f>
        <v>98.8</v>
      </c>
      <c r="E25" s="5" t="n">
        <f aca="false">Inputs!$B$10*Inputs!$B$11*C25</f>
        <v>116.16</v>
      </c>
      <c r="F25" s="5" t="n">
        <f aca="false">IF(A25&gt;=Inputs!$B$14,Inputs!$B$16*Inputs!$B$11*C25,0)</f>
        <v>0</v>
      </c>
      <c r="G25" s="5" t="n">
        <f aca="false">(E25+F25)*D25</f>
        <v>11476.608</v>
      </c>
      <c r="H25" s="5" t="n">
        <f aca="false">G25*Inputs!$B$19</f>
        <v>688.59648</v>
      </c>
      <c r="I25" s="5" t="n">
        <f aca="false">G25*Inputs!$B$20</f>
        <v>332.821632</v>
      </c>
      <c r="J25" s="5" t="n">
        <f aca="false">G25-H25-I25</f>
        <v>10455.189888</v>
      </c>
      <c r="K25" s="5" t="n">
        <f aca="false">IF(A25&gt;=Inputs!$B$14,Inputs!$B$15,0)</f>
        <v>0</v>
      </c>
      <c r="L25" s="5" t="n">
        <f aca="false">Inputs!$B$18</f>
        <v>3500</v>
      </c>
      <c r="M25" s="5" t="n">
        <f aca="false">Inputs!$B$21*IF(A25&gt;=Inputs!$B$14,1.6,1)</f>
        <v>900</v>
      </c>
      <c r="N25" s="5" t="n">
        <f aca="false">Inputs!$B$22</f>
        <v>350</v>
      </c>
      <c r="O25" s="5" t="n">
        <f aca="false">Inputs!$B$23</f>
        <v>250</v>
      </c>
      <c r="P25" s="5" t="n">
        <f aca="false">Inputs!$B$24</f>
        <v>80</v>
      </c>
      <c r="Q25" s="5" t="n">
        <f aca="false">IF(A25&lt;=6,Inputs!$B$25,Inputs!$B$26)</f>
        <v>350</v>
      </c>
      <c r="R25" s="5" t="n">
        <f aca="false">Inputs!$B$27</f>
        <v>60</v>
      </c>
      <c r="S25" s="5" t="n">
        <f aca="false">Inputs!$B$28</f>
        <v>150</v>
      </c>
      <c r="T25" s="5" t="n">
        <f aca="false">IF(A25&gt;=Inputs!$B$14,Inputs!$B$17,0)</f>
        <v>0</v>
      </c>
      <c r="U25" s="5" t="n">
        <f aca="false">Inputs!$B$29</f>
        <v>50</v>
      </c>
      <c r="V25" s="5" t="n">
        <f aca="false">SUM(K25:U25)</f>
        <v>5690</v>
      </c>
      <c r="W25" s="5" t="n">
        <f aca="false">J25-V25</f>
        <v>4765.189888</v>
      </c>
      <c r="X25" s="5" t="n">
        <f aca="false">Inputs!$B$30/(Inputs!$B$31*12)</f>
        <v>1350</v>
      </c>
      <c r="Y25" s="5" t="n">
        <f aca="false">IPMT(Inputs!$B$5/12,A25,Inputs!$B$6*12,-Inputs!$B$4)</f>
        <v>654.296438300529</v>
      </c>
      <c r="Z25" s="5" t="n">
        <f aca="false">W25-X25-Y25</f>
        <v>2760.89344969947</v>
      </c>
      <c r="AA25" s="5" t="n">
        <f aca="false">PPMT(Inputs!$B$5/12,A25,Inputs!$B$6*12,-Inputs!$B$4)</f>
        <v>492.65103429162</v>
      </c>
      <c r="AB25" s="5" t="n">
        <f aca="false">W25-Y25-AA25</f>
        <v>3618.24241540785</v>
      </c>
      <c r="AC25" s="5" t="n">
        <f aca="false">AC24+AB25</f>
        <v>70036.9595137885</v>
      </c>
    </row>
    <row r="26" customFormat="false" ht="15" hidden="false" customHeight="false" outlineLevel="0" collapsed="false">
      <c r="A26" s="0" t="n">
        <v>25</v>
      </c>
      <c r="B26" s="0" t="n">
        <f aca="false">INT((A26-1)/12)+1</f>
        <v>3</v>
      </c>
      <c r="C26" s="4" t="n">
        <f aca="false">Inputs!$B$13</f>
        <v>0.9</v>
      </c>
      <c r="D26" s="5" t="n">
        <f aca="false">Inputs!$B$8*(1+Inputs!$B$9)^(B26-1)</f>
        <v>102.752</v>
      </c>
      <c r="E26" s="5" t="n">
        <f aca="false">Inputs!$B$10*Inputs!$B$11*C26</f>
        <v>118.8</v>
      </c>
      <c r="F26" s="5" t="n">
        <f aca="false">IF(A26&gt;=Inputs!$B$14,Inputs!$B$16*Inputs!$B$11*C26,0)</f>
        <v>79.2</v>
      </c>
      <c r="G26" s="5" t="n">
        <f aca="false">(E26+F26)*D26</f>
        <v>20344.896</v>
      </c>
      <c r="H26" s="5" t="n">
        <f aca="false">G26*Inputs!$B$19</f>
        <v>1220.69376</v>
      </c>
      <c r="I26" s="5" t="n">
        <f aca="false">G26*Inputs!$B$20</f>
        <v>590.001984</v>
      </c>
      <c r="J26" s="5" t="n">
        <f aca="false">G26-H26-I26</f>
        <v>18534.200256</v>
      </c>
      <c r="K26" s="5" t="n">
        <f aca="false">IF(A26&gt;=Inputs!$B$14,Inputs!$B$15,0)</f>
        <v>3200</v>
      </c>
      <c r="L26" s="5" t="n">
        <f aca="false">Inputs!$B$18</f>
        <v>3500</v>
      </c>
      <c r="M26" s="5" t="n">
        <f aca="false">Inputs!$B$21*IF(A26&gt;=Inputs!$B$14,1.6,1)</f>
        <v>1440</v>
      </c>
      <c r="N26" s="5" t="n">
        <f aca="false">Inputs!$B$22</f>
        <v>350</v>
      </c>
      <c r="O26" s="5" t="n">
        <f aca="false">Inputs!$B$23</f>
        <v>250</v>
      </c>
      <c r="P26" s="5" t="n">
        <f aca="false">Inputs!$B$24</f>
        <v>80</v>
      </c>
      <c r="Q26" s="5" t="n">
        <f aca="false">IF(A26&lt;=6,Inputs!$B$25,Inputs!$B$26)</f>
        <v>350</v>
      </c>
      <c r="R26" s="5" t="n">
        <f aca="false">Inputs!$B$27</f>
        <v>60</v>
      </c>
      <c r="S26" s="5" t="n">
        <f aca="false">Inputs!$B$28</f>
        <v>150</v>
      </c>
      <c r="T26" s="5" t="n">
        <f aca="false">IF(A26&gt;=Inputs!$B$14,Inputs!$B$17,0)</f>
        <v>1400</v>
      </c>
      <c r="U26" s="5" t="n">
        <f aca="false">Inputs!$B$29</f>
        <v>50</v>
      </c>
      <c r="V26" s="5" t="n">
        <f aca="false">SUM(K26:U26)</f>
        <v>10830</v>
      </c>
      <c r="W26" s="5" t="n">
        <f aca="false">J26-V26</f>
        <v>7704.200256</v>
      </c>
      <c r="X26" s="5" t="n">
        <f aca="false">Inputs!$B$30/(Inputs!$B$31*12)</f>
        <v>1350</v>
      </c>
      <c r="Y26" s="5" t="n">
        <f aca="false">IPMT(Inputs!$B$5/12,A26,Inputs!$B$6*12,-Inputs!$B$4)</f>
        <v>649.985741750478</v>
      </c>
      <c r="Z26" s="5" t="n">
        <f aca="false">W26-X26-Y26</f>
        <v>5704.21451424953</v>
      </c>
      <c r="AA26" s="5" t="n">
        <f aca="false">PPMT(Inputs!$B$5/12,A26,Inputs!$B$6*12,-Inputs!$B$4)</f>
        <v>496.961730841672</v>
      </c>
      <c r="AB26" s="5" t="n">
        <f aca="false">W26-Y26-AA26</f>
        <v>6557.25278340786</v>
      </c>
      <c r="AC26" s="5" t="n">
        <f aca="false">AC25+AB26</f>
        <v>76594.2122971963</v>
      </c>
    </row>
    <row r="27" customFormat="false" ht="15" hidden="false" customHeight="false" outlineLevel="0" collapsed="false">
      <c r="A27" s="0" t="n">
        <v>26</v>
      </c>
      <c r="B27" s="0" t="n">
        <f aca="false">INT((A27-1)/12)+1</f>
        <v>3</v>
      </c>
      <c r="C27" s="4" t="n">
        <f aca="false">Inputs!$B$13</f>
        <v>0.9</v>
      </c>
      <c r="D27" s="5" t="n">
        <f aca="false">Inputs!$B$8*(1+Inputs!$B$9)^(B27-1)</f>
        <v>102.752</v>
      </c>
      <c r="E27" s="5" t="n">
        <f aca="false">Inputs!$B$10*Inputs!$B$11*C27</f>
        <v>118.8</v>
      </c>
      <c r="F27" s="5" t="n">
        <f aca="false">IF(A27&gt;=Inputs!$B$14,Inputs!$B$16*Inputs!$B$11*C27,0)</f>
        <v>79.2</v>
      </c>
      <c r="G27" s="5" t="n">
        <f aca="false">(E27+F27)*D27</f>
        <v>20344.896</v>
      </c>
      <c r="H27" s="5" t="n">
        <f aca="false">G27*Inputs!$B$19</f>
        <v>1220.69376</v>
      </c>
      <c r="I27" s="5" t="n">
        <f aca="false">G27*Inputs!$B$20</f>
        <v>590.001984</v>
      </c>
      <c r="J27" s="5" t="n">
        <f aca="false">G27-H27-I27</f>
        <v>18534.200256</v>
      </c>
      <c r="K27" s="5" t="n">
        <f aca="false">IF(A27&gt;=Inputs!$B$14,Inputs!$B$15,0)</f>
        <v>3200</v>
      </c>
      <c r="L27" s="5" t="n">
        <f aca="false">Inputs!$B$18</f>
        <v>3500</v>
      </c>
      <c r="M27" s="5" t="n">
        <f aca="false">Inputs!$B$21*IF(A27&gt;=Inputs!$B$14,1.6,1)</f>
        <v>1440</v>
      </c>
      <c r="N27" s="5" t="n">
        <f aca="false">Inputs!$B$22</f>
        <v>350</v>
      </c>
      <c r="O27" s="5" t="n">
        <f aca="false">Inputs!$B$23</f>
        <v>250</v>
      </c>
      <c r="P27" s="5" t="n">
        <f aca="false">Inputs!$B$24</f>
        <v>80</v>
      </c>
      <c r="Q27" s="5" t="n">
        <f aca="false">IF(A27&lt;=6,Inputs!$B$25,Inputs!$B$26)</f>
        <v>350</v>
      </c>
      <c r="R27" s="5" t="n">
        <f aca="false">Inputs!$B$27</f>
        <v>60</v>
      </c>
      <c r="S27" s="5" t="n">
        <f aca="false">Inputs!$B$28</f>
        <v>150</v>
      </c>
      <c r="T27" s="5" t="n">
        <f aca="false">IF(A27&gt;=Inputs!$B$14,Inputs!$B$17,0)</f>
        <v>1400</v>
      </c>
      <c r="U27" s="5" t="n">
        <f aca="false">Inputs!$B$29</f>
        <v>50</v>
      </c>
      <c r="V27" s="5" t="n">
        <f aca="false">SUM(K27:U27)</f>
        <v>10830</v>
      </c>
      <c r="W27" s="5" t="n">
        <f aca="false">J27-V27</f>
        <v>7704.200256</v>
      </c>
      <c r="X27" s="5" t="n">
        <f aca="false">Inputs!$B$30/(Inputs!$B$31*12)</f>
        <v>1350</v>
      </c>
      <c r="Y27" s="5" t="n">
        <f aca="false">IPMT(Inputs!$B$5/12,A27,Inputs!$B$6*12,-Inputs!$B$4)</f>
        <v>645.637326605613</v>
      </c>
      <c r="Z27" s="5" t="n">
        <f aca="false">W27-X27-Y27</f>
        <v>5708.56292939439</v>
      </c>
      <c r="AA27" s="5" t="n">
        <f aca="false">PPMT(Inputs!$B$5/12,A27,Inputs!$B$6*12,-Inputs!$B$4)</f>
        <v>501.310145986536</v>
      </c>
      <c r="AB27" s="5" t="n">
        <f aca="false">W27-Y27-AA27</f>
        <v>6557.25278340786</v>
      </c>
      <c r="AC27" s="5" t="n">
        <f aca="false">AC26+AB27</f>
        <v>83151.4650806042</v>
      </c>
    </row>
    <row r="28" customFormat="false" ht="15" hidden="false" customHeight="false" outlineLevel="0" collapsed="false">
      <c r="A28" s="0" t="n">
        <v>27</v>
      </c>
      <c r="B28" s="0" t="n">
        <f aca="false">INT((A28-1)/12)+1</f>
        <v>3</v>
      </c>
      <c r="C28" s="4" t="n">
        <f aca="false">Inputs!$B$13</f>
        <v>0.9</v>
      </c>
      <c r="D28" s="5" t="n">
        <f aca="false">Inputs!$B$8*(1+Inputs!$B$9)^(B28-1)</f>
        <v>102.752</v>
      </c>
      <c r="E28" s="5" t="n">
        <f aca="false">Inputs!$B$10*Inputs!$B$11*C28</f>
        <v>118.8</v>
      </c>
      <c r="F28" s="5" t="n">
        <f aca="false">IF(A28&gt;=Inputs!$B$14,Inputs!$B$16*Inputs!$B$11*C28,0)</f>
        <v>79.2</v>
      </c>
      <c r="G28" s="5" t="n">
        <f aca="false">(E28+F28)*D28</f>
        <v>20344.896</v>
      </c>
      <c r="H28" s="5" t="n">
        <f aca="false">G28*Inputs!$B$19</f>
        <v>1220.69376</v>
      </c>
      <c r="I28" s="5" t="n">
        <f aca="false">G28*Inputs!$B$20</f>
        <v>590.001984</v>
      </c>
      <c r="J28" s="5" t="n">
        <f aca="false">G28-H28-I28</f>
        <v>18534.200256</v>
      </c>
      <c r="K28" s="5" t="n">
        <f aca="false">IF(A28&gt;=Inputs!$B$14,Inputs!$B$15,0)</f>
        <v>3200</v>
      </c>
      <c r="L28" s="5" t="n">
        <f aca="false">Inputs!$B$18</f>
        <v>3500</v>
      </c>
      <c r="M28" s="5" t="n">
        <f aca="false">Inputs!$B$21*IF(A28&gt;=Inputs!$B$14,1.6,1)</f>
        <v>1440</v>
      </c>
      <c r="N28" s="5" t="n">
        <f aca="false">Inputs!$B$22</f>
        <v>350</v>
      </c>
      <c r="O28" s="5" t="n">
        <f aca="false">Inputs!$B$23</f>
        <v>250</v>
      </c>
      <c r="P28" s="5" t="n">
        <f aca="false">Inputs!$B$24</f>
        <v>80</v>
      </c>
      <c r="Q28" s="5" t="n">
        <f aca="false">IF(A28&lt;=6,Inputs!$B$25,Inputs!$B$26)</f>
        <v>350</v>
      </c>
      <c r="R28" s="5" t="n">
        <f aca="false">Inputs!$B$27</f>
        <v>60</v>
      </c>
      <c r="S28" s="5" t="n">
        <f aca="false">Inputs!$B$28</f>
        <v>150</v>
      </c>
      <c r="T28" s="5" t="n">
        <f aca="false">IF(A28&gt;=Inputs!$B$14,Inputs!$B$17,0)</f>
        <v>1400</v>
      </c>
      <c r="U28" s="5" t="n">
        <f aca="false">Inputs!$B$29</f>
        <v>50</v>
      </c>
      <c r="V28" s="5" t="n">
        <f aca="false">SUM(K28:U28)</f>
        <v>10830</v>
      </c>
      <c r="W28" s="5" t="n">
        <f aca="false">J28-V28</f>
        <v>7704.200256</v>
      </c>
      <c r="X28" s="5" t="n">
        <f aca="false">Inputs!$B$30/(Inputs!$B$31*12)</f>
        <v>1350</v>
      </c>
      <c r="Y28" s="5" t="n">
        <f aca="false">IPMT(Inputs!$B$5/12,A28,Inputs!$B$6*12,-Inputs!$B$4)</f>
        <v>641.250862828231</v>
      </c>
      <c r="Z28" s="5" t="n">
        <f aca="false">W28-X28-Y28</f>
        <v>5712.94939317177</v>
      </c>
      <c r="AA28" s="5" t="n">
        <f aca="false">PPMT(Inputs!$B$5/12,A28,Inputs!$B$6*12,-Inputs!$B$4)</f>
        <v>505.696609763919</v>
      </c>
      <c r="AB28" s="5" t="n">
        <f aca="false">W28-Y28-AA28</f>
        <v>6557.25278340786</v>
      </c>
      <c r="AC28" s="5" t="n">
        <f aca="false">AC27+AB28</f>
        <v>89708.717864012</v>
      </c>
    </row>
    <row r="29" customFormat="false" ht="15" hidden="false" customHeight="false" outlineLevel="0" collapsed="false">
      <c r="A29" s="0" t="n">
        <v>28</v>
      </c>
      <c r="B29" s="0" t="n">
        <f aca="false">INT((A29-1)/12)+1</f>
        <v>3</v>
      </c>
      <c r="C29" s="4" t="n">
        <f aca="false">Inputs!$B$13</f>
        <v>0.9</v>
      </c>
      <c r="D29" s="5" t="n">
        <f aca="false">Inputs!$B$8*(1+Inputs!$B$9)^(B29-1)</f>
        <v>102.752</v>
      </c>
      <c r="E29" s="5" t="n">
        <f aca="false">Inputs!$B$10*Inputs!$B$11*C29</f>
        <v>118.8</v>
      </c>
      <c r="F29" s="5" t="n">
        <f aca="false">IF(A29&gt;=Inputs!$B$14,Inputs!$B$16*Inputs!$B$11*C29,0)</f>
        <v>79.2</v>
      </c>
      <c r="G29" s="5" t="n">
        <f aca="false">(E29+F29)*D29</f>
        <v>20344.896</v>
      </c>
      <c r="H29" s="5" t="n">
        <f aca="false">G29*Inputs!$B$19</f>
        <v>1220.69376</v>
      </c>
      <c r="I29" s="5" t="n">
        <f aca="false">G29*Inputs!$B$20</f>
        <v>590.001984</v>
      </c>
      <c r="J29" s="5" t="n">
        <f aca="false">G29-H29-I29</f>
        <v>18534.200256</v>
      </c>
      <c r="K29" s="5" t="n">
        <f aca="false">IF(A29&gt;=Inputs!$B$14,Inputs!$B$15,0)</f>
        <v>3200</v>
      </c>
      <c r="L29" s="5" t="n">
        <f aca="false">Inputs!$B$18</f>
        <v>3500</v>
      </c>
      <c r="M29" s="5" t="n">
        <f aca="false">Inputs!$B$21*IF(A29&gt;=Inputs!$B$14,1.6,1)</f>
        <v>1440</v>
      </c>
      <c r="N29" s="5" t="n">
        <f aca="false">Inputs!$B$22</f>
        <v>350</v>
      </c>
      <c r="O29" s="5" t="n">
        <f aca="false">Inputs!$B$23</f>
        <v>250</v>
      </c>
      <c r="P29" s="5" t="n">
        <f aca="false">Inputs!$B$24</f>
        <v>80</v>
      </c>
      <c r="Q29" s="5" t="n">
        <f aca="false">IF(A29&lt;=6,Inputs!$B$25,Inputs!$B$26)</f>
        <v>350</v>
      </c>
      <c r="R29" s="5" t="n">
        <f aca="false">Inputs!$B$27</f>
        <v>60</v>
      </c>
      <c r="S29" s="5" t="n">
        <f aca="false">Inputs!$B$28</f>
        <v>150</v>
      </c>
      <c r="T29" s="5" t="n">
        <f aca="false">IF(A29&gt;=Inputs!$B$14,Inputs!$B$17,0)</f>
        <v>1400</v>
      </c>
      <c r="U29" s="5" t="n">
        <f aca="false">Inputs!$B$29</f>
        <v>50</v>
      </c>
      <c r="V29" s="5" t="n">
        <f aca="false">SUM(K29:U29)</f>
        <v>10830</v>
      </c>
      <c r="W29" s="5" t="n">
        <f aca="false">J29-V29</f>
        <v>7704.200256</v>
      </c>
      <c r="X29" s="5" t="n">
        <f aca="false">Inputs!$B$30/(Inputs!$B$31*12)</f>
        <v>1350</v>
      </c>
      <c r="Y29" s="5" t="n">
        <f aca="false">IPMT(Inputs!$B$5/12,A29,Inputs!$B$6*12,-Inputs!$B$4)</f>
        <v>636.826017492797</v>
      </c>
      <c r="Z29" s="5" t="n">
        <f aca="false">W29-X29-Y29</f>
        <v>5717.37423850721</v>
      </c>
      <c r="AA29" s="5" t="n">
        <f aca="false">PPMT(Inputs!$B$5/12,A29,Inputs!$B$6*12,-Inputs!$B$4)</f>
        <v>510.121455099353</v>
      </c>
      <c r="AB29" s="5" t="n">
        <f aca="false">W29-Y29-AA29</f>
        <v>6557.25278340786</v>
      </c>
      <c r="AC29" s="5" t="n">
        <f aca="false">AC28+AB29</f>
        <v>96265.9706474199</v>
      </c>
    </row>
    <row r="30" customFormat="false" ht="15" hidden="false" customHeight="false" outlineLevel="0" collapsed="false">
      <c r="A30" s="0" t="n">
        <v>29</v>
      </c>
      <c r="B30" s="0" t="n">
        <f aca="false">INT((A30-1)/12)+1</f>
        <v>3</v>
      </c>
      <c r="C30" s="4" t="n">
        <f aca="false">Inputs!$B$13</f>
        <v>0.9</v>
      </c>
      <c r="D30" s="5" t="n">
        <f aca="false">Inputs!$B$8*(1+Inputs!$B$9)^(B30-1)</f>
        <v>102.752</v>
      </c>
      <c r="E30" s="5" t="n">
        <f aca="false">Inputs!$B$10*Inputs!$B$11*C30</f>
        <v>118.8</v>
      </c>
      <c r="F30" s="5" t="n">
        <f aca="false">IF(A30&gt;=Inputs!$B$14,Inputs!$B$16*Inputs!$B$11*C30,0)</f>
        <v>79.2</v>
      </c>
      <c r="G30" s="5" t="n">
        <f aca="false">(E30+F30)*D30</f>
        <v>20344.896</v>
      </c>
      <c r="H30" s="5" t="n">
        <f aca="false">G30*Inputs!$B$19</f>
        <v>1220.69376</v>
      </c>
      <c r="I30" s="5" t="n">
        <f aca="false">G30*Inputs!$B$20</f>
        <v>590.001984</v>
      </c>
      <c r="J30" s="5" t="n">
        <f aca="false">G30-H30-I30</f>
        <v>18534.200256</v>
      </c>
      <c r="K30" s="5" t="n">
        <f aca="false">IF(A30&gt;=Inputs!$B$14,Inputs!$B$15,0)</f>
        <v>3200</v>
      </c>
      <c r="L30" s="5" t="n">
        <f aca="false">Inputs!$B$18</f>
        <v>3500</v>
      </c>
      <c r="M30" s="5" t="n">
        <f aca="false">Inputs!$B$21*IF(A30&gt;=Inputs!$B$14,1.6,1)</f>
        <v>1440</v>
      </c>
      <c r="N30" s="5" t="n">
        <f aca="false">Inputs!$B$22</f>
        <v>350</v>
      </c>
      <c r="O30" s="5" t="n">
        <f aca="false">Inputs!$B$23</f>
        <v>250</v>
      </c>
      <c r="P30" s="5" t="n">
        <f aca="false">Inputs!$B$24</f>
        <v>80</v>
      </c>
      <c r="Q30" s="5" t="n">
        <f aca="false">IF(A30&lt;=6,Inputs!$B$25,Inputs!$B$26)</f>
        <v>350</v>
      </c>
      <c r="R30" s="5" t="n">
        <f aca="false">Inputs!$B$27</f>
        <v>60</v>
      </c>
      <c r="S30" s="5" t="n">
        <f aca="false">Inputs!$B$28</f>
        <v>150</v>
      </c>
      <c r="T30" s="5" t="n">
        <f aca="false">IF(A30&gt;=Inputs!$B$14,Inputs!$B$17,0)</f>
        <v>1400</v>
      </c>
      <c r="U30" s="5" t="n">
        <f aca="false">Inputs!$B$29</f>
        <v>50</v>
      </c>
      <c r="V30" s="5" t="n">
        <f aca="false">SUM(K30:U30)</f>
        <v>10830</v>
      </c>
      <c r="W30" s="5" t="n">
        <f aca="false">J30-V30</f>
        <v>7704.200256</v>
      </c>
      <c r="X30" s="5" t="n">
        <f aca="false">Inputs!$B$30/(Inputs!$B$31*12)</f>
        <v>1350</v>
      </c>
      <c r="Y30" s="5" t="n">
        <f aca="false">IPMT(Inputs!$B$5/12,A30,Inputs!$B$6*12,-Inputs!$B$4)</f>
        <v>632.362454760677</v>
      </c>
      <c r="Z30" s="5" t="n">
        <f aca="false">W30-X30-Y30</f>
        <v>5721.83780123933</v>
      </c>
      <c r="AA30" s="5" t="n">
        <f aca="false">PPMT(Inputs!$B$5/12,A30,Inputs!$B$6*12,-Inputs!$B$4)</f>
        <v>514.585017831472</v>
      </c>
      <c r="AB30" s="5" t="n">
        <f aca="false">W30-Y30-AA30</f>
        <v>6557.25278340786</v>
      </c>
      <c r="AC30" s="5" t="n">
        <f aca="false">AC29+AB30</f>
        <v>102823.223430828</v>
      </c>
    </row>
    <row r="31" customFormat="false" ht="15" hidden="false" customHeight="false" outlineLevel="0" collapsed="false">
      <c r="A31" s="0" t="n">
        <v>30</v>
      </c>
      <c r="B31" s="0" t="n">
        <f aca="false">INT((A31-1)/12)+1</f>
        <v>3</v>
      </c>
      <c r="C31" s="4" t="n">
        <f aca="false">Inputs!$B$13</f>
        <v>0.9</v>
      </c>
      <c r="D31" s="5" t="n">
        <f aca="false">Inputs!$B$8*(1+Inputs!$B$9)^(B31-1)</f>
        <v>102.752</v>
      </c>
      <c r="E31" s="5" t="n">
        <f aca="false">Inputs!$B$10*Inputs!$B$11*C31</f>
        <v>118.8</v>
      </c>
      <c r="F31" s="5" t="n">
        <f aca="false">IF(A31&gt;=Inputs!$B$14,Inputs!$B$16*Inputs!$B$11*C31,0)</f>
        <v>79.2</v>
      </c>
      <c r="G31" s="5" t="n">
        <f aca="false">(E31+F31)*D31</f>
        <v>20344.896</v>
      </c>
      <c r="H31" s="5" t="n">
        <f aca="false">G31*Inputs!$B$19</f>
        <v>1220.69376</v>
      </c>
      <c r="I31" s="5" t="n">
        <f aca="false">G31*Inputs!$B$20</f>
        <v>590.001984</v>
      </c>
      <c r="J31" s="5" t="n">
        <f aca="false">G31-H31-I31</f>
        <v>18534.200256</v>
      </c>
      <c r="K31" s="5" t="n">
        <f aca="false">IF(A31&gt;=Inputs!$B$14,Inputs!$B$15,0)</f>
        <v>3200</v>
      </c>
      <c r="L31" s="5" t="n">
        <f aca="false">Inputs!$B$18</f>
        <v>3500</v>
      </c>
      <c r="M31" s="5" t="n">
        <f aca="false">Inputs!$B$21*IF(A31&gt;=Inputs!$B$14,1.6,1)</f>
        <v>1440</v>
      </c>
      <c r="N31" s="5" t="n">
        <f aca="false">Inputs!$B$22</f>
        <v>350</v>
      </c>
      <c r="O31" s="5" t="n">
        <f aca="false">Inputs!$B$23</f>
        <v>250</v>
      </c>
      <c r="P31" s="5" t="n">
        <f aca="false">Inputs!$B$24</f>
        <v>80</v>
      </c>
      <c r="Q31" s="5" t="n">
        <f aca="false">IF(A31&lt;=6,Inputs!$B$25,Inputs!$B$26)</f>
        <v>350</v>
      </c>
      <c r="R31" s="5" t="n">
        <f aca="false">Inputs!$B$27</f>
        <v>60</v>
      </c>
      <c r="S31" s="5" t="n">
        <f aca="false">Inputs!$B$28</f>
        <v>150</v>
      </c>
      <c r="T31" s="5" t="n">
        <f aca="false">IF(A31&gt;=Inputs!$B$14,Inputs!$B$17,0)</f>
        <v>1400</v>
      </c>
      <c r="U31" s="5" t="n">
        <f aca="false">Inputs!$B$29</f>
        <v>50</v>
      </c>
      <c r="V31" s="5" t="n">
        <f aca="false">SUM(K31:U31)</f>
        <v>10830</v>
      </c>
      <c r="W31" s="5" t="n">
        <f aca="false">J31-V31</f>
        <v>7704.200256</v>
      </c>
      <c r="X31" s="5" t="n">
        <f aca="false">Inputs!$B$30/(Inputs!$B$31*12)</f>
        <v>1350</v>
      </c>
      <c r="Y31" s="5" t="n">
        <f aca="false">IPMT(Inputs!$B$5/12,A31,Inputs!$B$6*12,-Inputs!$B$4)</f>
        <v>627.859835854652</v>
      </c>
      <c r="Z31" s="5" t="n">
        <f aca="false">W31-X31-Y31</f>
        <v>5726.34042014535</v>
      </c>
      <c r="AA31" s="5" t="n">
        <f aca="false">PPMT(Inputs!$B$5/12,A31,Inputs!$B$6*12,-Inputs!$B$4)</f>
        <v>519.087636737498</v>
      </c>
      <c r="AB31" s="5" t="n">
        <f aca="false">W31-Y31-AA31</f>
        <v>6557.25278340786</v>
      </c>
      <c r="AC31" s="5" t="n">
        <f aca="false">AC30+AB31</f>
        <v>109380.476214236</v>
      </c>
    </row>
    <row r="32" customFormat="false" ht="15" hidden="false" customHeight="false" outlineLevel="0" collapsed="false">
      <c r="A32" s="0" t="n">
        <v>31</v>
      </c>
      <c r="B32" s="0" t="n">
        <f aca="false">INT((A32-1)/12)+1</f>
        <v>3</v>
      </c>
      <c r="C32" s="4" t="n">
        <f aca="false">Inputs!$B$13</f>
        <v>0.9</v>
      </c>
      <c r="D32" s="5" t="n">
        <f aca="false">Inputs!$B$8*(1+Inputs!$B$9)^(B32-1)</f>
        <v>102.752</v>
      </c>
      <c r="E32" s="5" t="n">
        <f aca="false">Inputs!$B$10*Inputs!$B$11*C32</f>
        <v>118.8</v>
      </c>
      <c r="F32" s="5" t="n">
        <f aca="false">IF(A32&gt;=Inputs!$B$14,Inputs!$B$16*Inputs!$B$11*C32,0)</f>
        <v>79.2</v>
      </c>
      <c r="G32" s="5" t="n">
        <f aca="false">(E32+F32)*D32</f>
        <v>20344.896</v>
      </c>
      <c r="H32" s="5" t="n">
        <f aca="false">G32*Inputs!$B$19</f>
        <v>1220.69376</v>
      </c>
      <c r="I32" s="5" t="n">
        <f aca="false">G32*Inputs!$B$20</f>
        <v>590.001984</v>
      </c>
      <c r="J32" s="5" t="n">
        <f aca="false">G32-H32-I32</f>
        <v>18534.200256</v>
      </c>
      <c r="K32" s="5" t="n">
        <f aca="false">IF(A32&gt;=Inputs!$B$14,Inputs!$B$15,0)</f>
        <v>3200</v>
      </c>
      <c r="L32" s="5" t="n">
        <f aca="false">Inputs!$B$18</f>
        <v>3500</v>
      </c>
      <c r="M32" s="5" t="n">
        <f aca="false">Inputs!$B$21*IF(A32&gt;=Inputs!$B$14,1.6,1)</f>
        <v>1440</v>
      </c>
      <c r="N32" s="5" t="n">
        <f aca="false">Inputs!$B$22</f>
        <v>350</v>
      </c>
      <c r="O32" s="5" t="n">
        <f aca="false">Inputs!$B$23</f>
        <v>250</v>
      </c>
      <c r="P32" s="5" t="n">
        <f aca="false">Inputs!$B$24</f>
        <v>80</v>
      </c>
      <c r="Q32" s="5" t="n">
        <f aca="false">IF(A32&lt;=6,Inputs!$B$25,Inputs!$B$26)</f>
        <v>350</v>
      </c>
      <c r="R32" s="5" t="n">
        <f aca="false">Inputs!$B$27</f>
        <v>60</v>
      </c>
      <c r="S32" s="5" t="n">
        <f aca="false">Inputs!$B$28</f>
        <v>150</v>
      </c>
      <c r="T32" s="5" t="n">
        <f aca="false">IF(A32&gt;=Inputs!$B$14,Inputs!$B$17,0)</f>
        <v>1400</v>
      </c>
      <c r="U32" s="5" t="n">
        <f aca="false">Inputs!$B$29</f>
        <v>50</v>
      </c>
      <c r="V32" s="5" t="n">
        <f aca="false">SUM(K32:U32)</f>
        <v>10830</v>
      </c>
      <c r="W32" s="5" t="n">
        <f aca="false">J32-V32</f>
        <v>7704.200256</v>
      </c>
      <c r="X32" s="5" t="n">
        <f aca="false">Inputs!$B$30/(Inputs!$B$31*12)</f>
        <v>1350</v>
      </c>
      <c r="Y32" s="5" t="n">
        <f aca="false">IPMT(Inputs!$B$5/12,A32,Inputs!$B$6*12,-Inputs!$B$4)</f>
        <v>623.317819033198</v>
      </c>
      <c r="Z32" s="5" t="n">
        <f aca="false">W32-X32-Y32</f>
        <v>5730.88243696681</v>
      </c>
      <c r="AA32" s="5" t="n">
        <f aca="false">PPMT(Inputs!$B$5/12,A32,Inputs!$B$6*12,-Inputs!$B$4)</f>
        <v>523.629653558951</v>
      </c>
      <c r="AB32" s="5" t="n">
        <f aca="false">W32-Y32-AA32</f>
        <v>6557.25278340786</v>
      </c>
      <c r="AC32" s="5" t="n">
        <f aca="false">AC31+AB32</f>
        <v>115937.728997643</v>
      </c>
    </row>
    <row r="33" customFormat="false" ht="15" hidden="false" customHeight="false" outlineLevel="0" collapsed="false">
      <c r="A33" s="0" t="n">
        <v>32</v>
      </c>
      <c r="B33" s="0" t="n">
        <f aca="false">INT((A33-1)/12)+1</f>
        <v>3</v>
      </c>
      <c r="C33" s="4" t="n">
        <f aca="false">Inputs!$B$13</f>
        <v>0.9</v>
      </c>
      <c r="D33" s="5" t="n">
        <f aca="false">Inputs!$B$8*(1+Inputs!$B$9)^(B33-1)</f>
        <v>102.752</v>
      </c>
      <c r="E33" s="5" t="n">
        <f aca="false">Inputs!$B$10*Inputs!$B$11*C33</f>
        <v>118.8</v>
      </c>
      <c r="F33" s="5" t="n">
        <f aca="false">IF(A33&gt;=Inputs!$B$14,Inputs!$B$16*Inputs!$B$11*C33,0)</f>
        <v>79.2</v>
      </c>
      <c r="G33" s="5" t="n">
        <f aca="false">(E33+F33)*D33</f>
        <v>20344.896</v>
      </c>
      <c r="H33" s="5" t="n">
        <f aca="false">G33*Inputs!$B$19</f>
        <v>1220.69376</v>
      </c>
      <c r="I33" s="5" t="n">
        <f aca="false">G33*Inputs!$B$20</f>
        <v>590.001984</v>
      </c>
      <c r="J33" s="5" t="n">
        <f aca="false">G33-H33-I33</f>
        <v>18534.200256</v>
      </c>
      <c r="K33" s="5" t="n">
        <f aca="false">IF(A33&gt;=Inputs!$B$14,Inputs!$B$15,0)</f>
        <v>3200</v>
      </c>
      <c r="L33" s="5" t="n">
        <f aca="false">Inputs!$B$18</f>
        <v>3500</v>
      </c>
      <c r="M33" s="5" t="n">
        <f aca="false">Inputs!$B$21*IF(A33&gt;=Inputs!$B$14,1.6,1)</f>
        <v>1440</v>
      </c>
      <c r="N33" s="5" t="n">
        <f aca="false">Inputs!$B$22</f>
        <v>350</v>
      </c>
      <c r="O33" s="5" t="n">
        <f aca="false">Inputs!$B$23</f>
        <v>250</v>
      </c>
      <c r="P33" s="5" t="n">
        <f aca="false">Inputs!$B$24</f>
        <v>80</v>
      </c>
      <c r="Q33" s="5" t="n">
        <f aca="false">IF(A33&lt;=6,Inputs!$B$25,Inputs!$B$26)</f>
        <v>350</v>
      </c>
      <c r="R33" s="5" t="n">
        <f aca="false">Inputs!$B$27</f>
        <v>60</v>
      </c>
      <c r="S33" s="5" t="n">
        <f aca="false">Inputs!$B$28</f>
        <v>150</v>
      </c>
      <c r="T33" s="5" t="n">
        <f aca="false">IF(A33&gt;=Inputs!$B$14,Inputs!$B$17,0)</f>
        <v>1400</v>
      </c>
      <c r="U33" s="5" t="n">
        <f aca="false">Inputs!$B$29</f>
        <v>50</v>
      </c>
      <c r="V33" s="5" t="n">
        <f aca="false">SUM(K33:U33)</f>
        <v>10830</v>
      </c>
      <c r="W33" s="5" t="n">
        <f aca="false">J33-V33</f>
        <v>7704.200256</v>
      </c>
      <c r="X33" s="5" t="n">
        <f aca="false">Inputs!$B$30/(Inputs!$B$31*12)</f>
        <v>1350</v>
      </c>
      <c r="Y33" s="5" t="n">
        <f aca="false">IPMT(Inputs!$B$5/12,A33,Inputs!$B$6*12,-Inputs!$B$4)</f>
        <v>618.736059564558</v>
      </c>
      <c r="Z33" s="5" t="n">
        <f aca="false">W33-X33-Y33</f>
        <v>5735.46419643545</v>
      </c>
      <c r="AA33" s="5" t="n">
        <f aca="false">PPMT(Inputs!$B$5/12,A33,Inputs!$B$6*12,-Inputs!$B$4)</f>
        <v>528.211413027592</v>
      </c>
      <c r="AB33" s="5" t="n">
        <f aca="false">W33-Y33-AA33</f>
        <v>6557.25278340785</v>
      </c>
      <c r="AC33" s="5" t="n">
        <f aca="false">AC32+AB33</f>
        <v>122494.981781051</v>
      </c>
    </row>
    <row r="34" customFormat="false" ht="15" hidden="false" customHeight="false" outlineLevel="0" collapsed="false">
      <c r="A34" s="0" t="n">
        <v>33</v>
      </c>
      <c r="B34" s="0" t="n">
        <f aca="false">INT((A34-1)/12)+1</f>
        <v>3</v>
      </c>
      <c r="C34" s="4" t="n">
        <f aca="false">Inputs!$B$13</f>
        <v>0.9</v>
      </c>
      <c r="D34" s="5" t="n">
        <f aca="false">Inputs!$B$8*(1+Inputs!$B$9)^(B34-1)</f>
        <v>102.752</v>
      </c>
      <c r="E34" s="5" t="n">
        <f aca="false">Inputs!$B$10*Inputs!$B$11*C34</f>
        <v>118.8</v>
      </c>
      <c r="F34" s="5" t="n">
        <f aca="false">IF(A34&gt;=Inputs!$B$14,Inputs!$B$16*Inputs!$B$11*C34,0)</f>
        <v>79.2</v>
      </c>
      <c r="G34" s="5" t="n">
        <f aca="false">(E34+F34)*D34</f>
        <v>20344.896</v>
      </c>
      <c r="H34" s="5" t="n">
        <f aca="false">G34*Inputs!$B$19</f>
        <v>1220.69376</v>
      </c>
      <c r="I34" s="5" t="n">
        <f aca="false">G34*Inputs!$B$20</f>
        <v>590.001984</v>
      </c>
      <c r="J34" s="5" t="n">
        <f aca="false">G34-H34-I34</f>
        <v>18534.200256</v>
      </c>
      <c r="K34" s="5" t="n">
        <f aca="false">IF(A34&gt;=Inputs!$B$14,Inputs!$B$15,0)</f>
        <v>3200</v>
      </c>
      <c r="L34" s="5" t="n">
        <f aca="false">Inputs!$B$18</f>
        <v>3500</v>
      </c>
      <c r="M34" s="5" t="n">
        <f aca="false">Inputs!$B$21*IF(A34&gt;=Inputs!$B$14,1.6,1)</f>
        <v>1440</v>
      </c>
      <c r="N34" s="5" t="n">
        <f aca="false">Inputs!$B$22</f>
        <v>350</v>
      </c>
      <c r="O34" s="5" t="n">
        <f aca="false">Inputs!$B$23</f>
        <v>250</v>
      </c>
      <c r="P34" s="5" t="n">
        <f aca="false">Inputs!$B$24</f>
        <v>80</v>
      </c>
      <c r="Q34" s="5" t="n">
        <f aca="false">IF(A34&lt;=6,Inputs!$B$25,Inputs!$B$26)</f>
        <v>350</v>
      </c>
      <c r="R34" s="5" t="n">
        <f aca="false">Inputs!$B$27</f>
        <v>60</v>
      </c>
      <c r="S34" s="5" t="n">
        <f aca="false">Inputs!$B$28</f>
        <v>150</v>
      </c>
      <c r="T34" s="5" t="n">
        <f aca="false">IF(A34&gt;=Inputs!$B$14,Inputs!$B$17,0)</f>
        <v>1400</v>
      </c>
      <c r="U34" s="5" t="n">
        <f aca="false">Inputs!$B$29</f>
        <v>50</v>
      </c>
      <c r="V34" s="5" t="n">
        <f aca="false">SUM(K34:U34)</f>
        <v>10830</v>
      </c>
      <c r="W34" s="5" t="n">
        <f aca="false">J34-V34</f>
        <v>7704.200256</v>
      </c>
      <c r="X34" s="5" t="n">
        <f aca="false">Inputs!$B$30/(Inputs!$B$31*12)</f>
        <v>1350</v>
      </c>
      <c r="Y34" s="5" t="n">
        <f aca="false">IPMT(Inputs!$B$5/12,A34,Inputs!$B$6*12,-Inputs!$B$4)</f>
        <v>614.114209700566</v>
      </c>
      <c r="Z34" s="5" t="n">
        <f aca="false">W34-X34-Y34</f>
        <v>5740.08604629944</v>
      </c>
      <c r="AA34" s="5" t="n">
        <f aca="false">PPMT(Inputs!$B$5/12,A34,Inputs!$B$6*12,-Inputs!$B$4)</f>
        <v>532.833262891583</v>
      </c>
      <c r="AB34" s="5" t="n">
        <f aca="false">W34-Y34-AA34</f>
        <v>6557.25278340785</v>
      </c>
      <c r="AC34" s="5" t="n">
        <f aca="false">AC33+AB34</f>
        <v>129052.234564459</v>
      </c>
    </row>
    <row r="35" customFormat="false" ht="15" hidden="false" customHeight="false" outlineLevel="0" collapsed="false">
      <c r="A35" s="0" t="n">
        <v>34</v>
      </c>
      <c r="B35" s="0" t="n">
        <f aca="false">INT((A35-1)/12)+1</f>
        <v>3</v>
      </c>
      <c r="C35" s="4" t="n">
        <f aca="false">Inputs!$B$13</f>
        <v>0.9</v>
      </c>
      <c r="D35" s="5" t="n">
        <f aca="false">Inputs!$B$8*(1+Inputs!$B$9)^(B35-1)</f>
        <v>102.752</v>
      </c>
      <c r="E35" s="5" t="n">
        <f aca="false">Inputs!$B$10*Inputs!$B$11*C35</f>
        <v>118.8</v>
      </c>
      <c r="F35" s="5" t="n">
        <f aca="false">IF(A35&gt;=Inputs!$B$14,Inputs!$B$16*Inputs!$B$11*C35,0)</f>
        <v>79.2</v>
      </c>
      <c r="G35" s="5" t="n">
        <f aca="false">(E35+F35)*D35</f>
        <v>20344.896</v>
      </c>
      <c r="H35" s="5" t="n">
        <f aca="false">G35*Inputs!$B$19</f>
        <v>1220.69376</v>
      </c>
      <c r="I35" s="5" t="n">
        <f aca="false">G35*Inputs!$B$20</f>
        <v>590.001984</v>
      </c>
      <c r="J35" s="5" t="n">
        <f aca="false">G35-H35-I35</f>
        <v>18534.200256</v>
      </c>
      <c r="K35" s="5" t="n">
        <f aca="false">IF(A35&gt;=Inputs!$B$14,Inputs!$B$15,0)</f>
        <v>3200</v>
      </c>
      <c r="L35" s="5" t="n">
        <f aca="false">Inputs!$B$18</f>
        <v>3500</v>
      </c>
      <c r="M35" s="5" t="n">
        <f aca="false">Inputs!$B$21*IF(A35&gt;=Inputs!$B$14,1.6,1)</f>
        <v>1440</v>
      </c>
      <c r="N35" s="5" t="n">
        <f aca="false">Inputs!$B$22</f>
        <v>350</v>
      </c>
      <c r="O35" s="5" t="n">
        <f aca="false">Inputs!$B$23</f>
        <v>250</v>
      </c>
      <c r="P35" s="5" t="n">
        <f aca="false">Inputs!$B$24</f>
        <v>80</v>
      </c>
      <c r="Q35" s="5" t="n">
        <f aca="false">IF(A35&lt;=6,Inputs!$B$25,Inputs!$B$26)</f>
        <v>350</v>
      </c>
      <c r="R35" s="5" t="n">
        <f aca="false">Inputs!$B$27</f>
        <v>60</v>
      </c>
      <c r="S35" s="5" t="n">
        <f aca="false">Inputs!$B$28</f>
        <v>150</v>
      </c>
      <c r="T35" s="5" t="n">
        <f aca="false">IF(A35&gt;=Inputs!$B$14,Inputs!$B$17,0)</f>
        <v>1400</v>
      </c>
      <c r="U35" s="5" t="n">
        <f aca="false">Inputs!$B$29</f>
        <v>50</v>
      </c>
      <c r="V35" s="5" t="n">
        <f aca="false">SUM(K35:U35)</f>
        <v>10830</v>
      </c>
      <c r="W35" s="5" t="n">
        <f aca="false">J35-V35</f>
        <v>7704.200256</v>
      </c>
      <c r="X35" s="5" t="n">
        <f aca="false">Inputs!$B$30/(Inputs!$B$31*12)</f>
        <v>1350</v>
      </c>
      <c r="Y35" s="5" t="n">
        <f aca="false">IPMT(Inputs!$B$5/12,A35,Inputs!$B$6*12,-Inputs!$B$4)</f>
        <v>609.451918650265</v>
      </c>
      <c r="Z35" s="5" t="n">
        <f aca="false">W35-X35-Y35</f>
        <v>5744.74833734974</v>
      </c>
      <c r="AA35" s="5" t="n">
        <f aca="false">PPMT(Inputs!$B$5/12,A35,Inputs!$B$6*12,-Inputs!$B$4)</f>
        <v>537.495553941885</v>
      </c>
      <c r="AB35" s="5" t="n">
        <f aca="false">W35-Y35-AA35</f>
        <v>6557.25278340786</v>
      </c>
      <c r="AC35" s="5" t="n">
        <f aca="false">AC34+AB35</f>
        <v>135609.487347867</v>
      </c>
    </row>
    <row r="36" customFormat="false" ht="15" hidden="false" customHeight="false" outlineLevel="0" collapsed="false">
      <c r="A36" s="0" t="n">
        <v>35</v>
      </c>
      <c r="B36" s="0" t="n">
        <f aca="false">INT((A36-1)/12)+1</f>
        <v>3</v>
      </c>
      <c r="C36" s="4" t="n">
        <f aca="false">Inputs!$B$13</f>
        <v>0.9</v>
      </c>
      <c r="D36" s="5" t="n">
        <f aca="false">Inputs!$B$8*(1+Inputs!$B$9)^(B36-1)</f>
        <v>102.752</v>
      </c>
      <c r="E36" s="5" t="n">
        <f aca="false">Inputs!$B$10*Inputs!$B$11*C36</f>
        <v>118.8</v>
      </c>
      <c r="F36" s="5" t="n">
        <f aca="false">IF(A36&gt;=Inputs!$B$14,Inputs!$B$16*Inputs!$B$11*C36,0)</f>
        <v>79.2</v>
      </c>
      <c r="G36" s="5" t="n">
        <f aca="false">(E36+F36)*D36</f>
        <v>20344.896</v>
      </c>
      <c r="H36" s="5" t="n">
        <f aca="false">G36*Inputs!$B$19</f>
        <v>1220.69376</v>
      </c>
      <c r="I36" s="5" t="n">
        <f aca="false">G36*Inputs!$B$20</f>
        <v>590.001984</v>
      </c>
      <c r="J36" s="5" t="n">
        <f aca="false">G36-H36-I36</f>
        <v>18534.200256</v>
      </c>
      <c r="K36" s="5" t="n">
        <f aca="false">IF(A36&gt;=Inputs!$B$14,Inputs!$B$15,0)</f>
        <v>3200</v>
      </c>
      <c r="L36" s="5" t="n">
        <f aca="false">Inputs!$B$18</f>
        <v>3500</v>
      </c>
      <c r="M36" s="5" t="n">
        <f aca="false">Inputs!$B$21*IF(A36&gt;=Inputs!$B$14,1.6,1)</f>
        <v>1440</v>
      </c>
      <c r="N36" s="5" t="n">
        <f aca="false">Inputs!$B$22</f>
        <v>350</v>
      </c>
      <c r="O36" s="5" t="n">
        <f aca="false">Inputs!$B$23</f>
        <v>250</v>
      </c>
      <c r="P36" s="5" t="n">
        <f aca="false">Inputs!$B$24</f>
        <v>80</v>
      </c>
      <c r="Q36" s="5" t="n">
        <f aca="false">IF(A36&lt;=6,Inputs!$B$25,Inputs!$B$26)</f>
        <v>350</v>
      </c>
      <c r="R36" s="5" t="n">
        <f aca="false">Inputs!$B$27</f>
        <v>60</v>
      </c>
      <c r="S36" s="5" t="n">
        <f aca="false">Inputs!$B$28</f>
        <v>150</v>
      </c>
      <c r="T36" s="5" t="n">
        <f aca="false">IF(A36&gt;=Inputs!$B$14,Inputs!$B$17,0)</f>
        <v>1400</v>
      </c>
      <c r="U36" s="5" t="n">
        <f aca="false">Inputs!$B$29</f>
        <v>50</v>
      </c>
      <c r="V36" s="5" t="n">
        <f aca="false">SUM(K36:U36)</f>
        <v>10830</v>
      </c>
      <c r="W36" s="5" t="n">
        <f aca="false">J36-V36</f>
        <v>7704.200256</v>
      </c>
      <c r="X36" s="5" t="n">
        <f aca="false">Inputs!$B$30/(Inputs!$B$31*12)</f>
        <v>1350</v>
      </c>
      <c r="Y36" s="5" t="n">
        <f aca="false">IPMT(Inputs!$B$5/12,A36,Inputs!$B$6*12,-Inputs!$B$4)</f>
        <v>604.748832553274</v>
      </c>
      <c r="Z36" s="5" t="n">
        <f aca="false">W36-X36-Y36</f>
        <v>5749.45142344673</v>
      </c>
      <c r="AA36" s="5" t="n">
        <f aca="false">PPMT(Inputs!$B$5/12,A36,Inputs!$B$6*12,-Inputs!$B$4)</f>
        <v>542.198640038876</v>
      </c>
      <c r="AB36" s="5" t="n">
        <f aca="false">W36-Y36-AA36</f>
        <v>6557.25278340786</v>
      </c>
      <c r="AC36" s="5" t="n">
        <f aca="false">AC35+AB36</f>
        <v>142166.740131275</v>
      </c>
    </row>
    <row r="37" customFormat="false" ht="15" hidden="false" customHeight="false" outlineLevel="0" collapsed="false">
      <c r="A37" s="0" t="n">
        <v>36</v>
      </c>
      <c r="B37" s="0" t="n">
        <f aca="false">INT((A37-1)/12)+1</f>
        <v>3</v>
      </c>
      <c r="C37" s="4" t="n">
        <f aca="false">Inputs!$B$13</f>
        <v>0.9</v>
      </c>
      <c r="D37" s="5" t="n">
        <f aca="false">Inputs!$B$8*(1+Inputs!$B$9)^(B37-1)</f>
        <v>102.752</v>
      </c>
      <c r="E37" s="5" t="n">
        <f aca="false">Inputs!$B$10*Inputs!$B$11*C37</f>
        <v>118.8</v>
      </c>
      <c r="F37" s="5" t="n">
        <f aca="false">IF(A37&gt;=Inputs!$B$14,Inputs!$B$16*Inputs!$B$11*C37,0)</f>
        <v>79.2</v>
      </c>
      <c r="G37" s="5" t="n">
        <f aca="false">(E37+F37)*D37</f>
        <v>20344.896</v>
      </c>
      <c r="H37" s="5" t="n">
        <f aca="false">G37*Inputs!$B$19</f>
        <v>1220.69376</v>
      </c>
      <c r="I37" s="5" t="n">
        <f aca="false">G37*Inputs!$B$20</f>
        <v>590.001984</v>
      </c>
      <c r="J37" s="5" t="n">
        <f aca="false">G37-H37-I37</f>
        <v>18534.200256</v>
      </c>
      <c r="K37" s="5" t="n">
        <f aca="false">IF(A37&gt;=Inputs!$B$14,Inputs!$B$15,0)</f>
        <v>3200</v>
      </c>
      <c r="L37" s="5" t="n">
        <f aca="false">Inputs!$B$18</f>
        <v>3500</v>
      </c>
      <c r="M37" s="5" t="n">
        <f aca="false">Inputs!$B$21*IF(A37&gt;=Inputs!$B$14,1.6,1)</f>
        <v>1440</v>
      </c>
      <c r="N37" s="5" t="n">
        <f aca="false">Inputs!$B$22</f>
        <v>350</v>
      </c>
      <c r="O37" s="5" t="n">
        <f aca="false">Inputs!$B$23</f>
        <v>250</v>
      </c>
      <c r="P37" s="5" t="n">
        <f aca="false">Inputs!$B$24</f>
        <v>80</v>
      </c>
      <c r="Q37" s="5" t="n">
        <f aca="false">IF(A37&lt;=6,Inputs!$B$25,Inputs!$B$26)</f>
        <v>350</v>
      </c>
      <c r="R37" s="5" t="n">
        <f aca="false">Inputs!$B$27</f>
        <v>60</v>
      </c>
      <c r="S37" s="5" t="n">
        <f aca="false">Inputs!$B$28</f>
        <v>150</v>
      </c>
      <c r="T37" s="5" t="n">
        <f aca="false">IF(A37&gt;=Inputs!$B$14,Inputs!$B$17,0)</f>
        <v>1400</v>
      </c>
      <c r="U37" s="5" t="n">
        <f aca="false">Inputs!$B$29</f>
        <v>50</v>
      </c>
      <c r="V37" s="5" t="n">
        <f aca="false">SUM(K37:U37)</f>
        <v>10830</v>
      </c>
      <c r="W37" s="5" t="n">
        <f aca="false">J37-V37</f>
        <v>7704.200256</v>
      </c>
      <c r="X37" s="5" t="n">
        <f aca="false">Inputs!$B$30/(Inputs!$B$31*12)</f>
        <v>1350</v>
      </c>
      <c r="Y37" s="5" t="n">
        <f aca="false">IPMT(Inputs!$B$5/12,A37,Inputs!$B$6*12,-Inputs!$B$4)</f>
        <v>600.004594452933</v>
      </c>
      <c r="Z37" s="5" t="n">
        <f aca="false">W37-X37-Y37</f>
        <v>5754.19566154707</v>
      </c>
      <c r="AA37" s="5" t="n">
        <f aca="false">PPMT(Inputs!$B$5/12,A37,Inputs!$B$6*12,-Inputs!$B$4)</f>
        <v>546.942878139216</v>
      </c>
      <c r="AB37" s="5" t="n">
        <f aca="false">W37-Y37-AA37</f>
        <v>6557.25278340786</v>
      </c>
      <c r="AC37" s="5" t="n">
        <f aca="false">AC36+AB37</f>
        <v>148723.992914683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4"/>
  </cols>
  <sheetData>
    <row r="1" customFormat="false" ht="15" hidden="false" customHeight="false" outlineLevel="0" collapsed="false">
      <c r="A1" s="2" t="s">
        <v>69</v>
      </c>
      <c r="B1" s="2" t="s">
        <v>70</v>
      </c>
      <c r="C1" s="2" t="s">
        <v>71</v>
      </c>
      <c r="D1" s="2" t="s">
        <v>72</v>
      </c>
    </row>
    <row r="2" customFormat="false" ht="15" hidden="false" customHeight="false" outlineLevel="0" collapsed="false">
      <c r="A2" s="0" t="s">
        <v>46</v>
      </c>
      <c r="B2" s="5" t="n">
        <f aca="false">SUMIF(Monthly!$B$2:$B$37,1,Monthly!G$2:G$37)</f>
        <v>104458.2</v>
      </c>
      <c r="C2" s="5" t="n">
        <f aca="false">SUMIF(Monthly!$B$2:$B$37,2,Monthly!G$2:G$37)</f>
        <v>137719.296</v>
      </c>
      <c r="D2" s="5" t="n">
        <f aca="false">SUMIF(Monthly!$B$2:$B$37,3,Monthly!G$2:G$37)</f>
        <v>244138.752</v>
      </c>
    </row>
    <row r="3" customFormat="false" ht="15" hidden="false" customHeight="false" outlineLevel="0" collapsed="false">
      <c r="A3" s="0" t="s">
        <v>49</v>
      </c>
      <c r="B3" s="5" t="n">
        <f aca="false">SUMIF(Monthly!$B$2:$B$37,1,Monthly!J$2:J$37)</f>
        <v>95161.4202</v>
      </c>
      <c r="C3" s="5" t="n">
        <f aca="false">SUMIF(Monthly!$B$2:$B$37,2,Monthly!J$2:J$37)</f>
        <v>125462.278656</v>
      </c>
      <c r="D3" s="5" t="n">
        <f aca="false">SUMIF(Monthly!$B$2:$B$37,3,Monthly!J$2:J$37)</f>
        <v>222410.403072</v>
      </c>
    </row>
    <row r="4" customFormat="false" ht="15" hidden="false" customHeight="false" outlineLevel="0" collapsed="false">
      <c r="A4" s="0" t="s">
        <v>61</v>
      </c>
      <c r="B4" s="5" t="n">
        <f aca="false">SUMIF(Monthly!$B$2:$B$37,1,Monthly!V$2:V$37)</f>
        <v>69780</v>
      </c>
      <c r="C4" s="5" t="n">
        <f aca="false">SUMIF(Monthly!$B$2:$B$37,2,Monthly!V$2:V$37)</f>
        <v>68280</v>
      </c>
      <c r="D4" s="5" t="n">
        <f aca="false">SUMIF(Monthly!$B$2:$B$37,3,Monthly!V$2:V$37)</f>
        <v>129960</v>
      </c>
    </row>
    <row r="5" customFormat="false" ht="15" hidden="false" customHeight="false" outlineLevel="0" collapsed="false">
      <c r="A5" s="0" t="s">
        <v>62</v>
      </c>
      <c r="B5" s="5" t="n">
        <f aca="false">SUMIF(Monthly!$B$2:$B$37,1,Monthly!W$2:W$37)</f>
        <v>25381.4202</v>
      </c>
      <c r="C5" s="5" t="n">
        <f aca="false">SUMIF(Monthly!$B$2:$B$37,2,Monthly!W$2:W$37)</f>
        <v>57182.278656</v>
      </c>
      <c r="D5" s="5" t="n">
        <f aca="false">SUMIF(Monthly!$B$2:$B$37,3,Monthly!W$2:W$37)</f>
        <v>92450.403072</v>
      </c>
    </row>
    <row r="6" customFormat="false" ht="15" hidden="false" customHeight="false" outlineLevel="0" collapsed="false">
      <c r="A6" s="0" t="s">
        <v>63</v>
      </c>
      <c r="B6" s="5" t="n">
        <f aca="false">SUMIF(Monthly!$B$2:$B$37,1,Monthly!X$2:X$37)</f>
        <v>16200</v>
      </c>
      <c r="C6" s="5" t="n">
        <f aca="false">SUMIF(Monthly!$B$2:$B$37,2,Monthly!X$2:X$37)</f>
        <v>16200</v>
      </c>
      <c r="D6" s="5" t="n">
        <f aca="false">SUMIF(Monthly!$B$2:$B$37,3,Monthly!X$2:X$37)</f>
        <v>16200</v>
      </c>
    </row>
    <row r="7" customFormat="false" ht="15" hidden="false" customHeight="false" outlineLevel="0" collapsed="false">
      <c r="A7" s="0" t="s">
        <v>64</v>
      </c>
      <c r="B7" s="5" t="n">
        <f aca="false">SUMIF(Monthly!$B$2:$B$37,1,Monthly!Y$2:Y$37)</f>
        <v>8685.22650617903</v>
      </c>
      <c r="C7" s="5" t="n">
        <f aca="false">SUMIF(Monthly!$B$2:$B$37,2,Monthly!Y$2:Y$37)</f>
        <v>8125.59760751576</v>
      </c>
      <c r="D7" s="5" t="n">
        <f aca="false">SUMIF(Monthly!$B$2:$B$37,3,Monthly!Y$2:Y$37)</f>
        <v>7504.29567324724</v>
      </c>
    </row>
    <row r="8" customFormat="false" ht="15" hidden="false" customHeight="false" outlineLevel="0" collapsed="false">
      <c r="A8" s="0" t="s">
        <v>65</v>
      </c>
      <c r="B8" s="5" t="n">
        <f aca="false">SUMIF(Monthly!$B$2:$B$37,1,Monthly!Z$2:Z$37)</f>
        <v>496.193693820965</v>
      </c>
      <c r="C8" s="5" t="n">
        <f aca="false">SUMIF(Monthly!$B$2:$B$37,2,Monthly!Z$2:Z$37)</f>
        <v>32856.6810484843</v>
      </c>
      <c r="D8" s="5" t="n">
        <f aca="false">SUMIF(Monthly!$B$2:$B$37,3,Monthly!Z$2:Z$37)</f>
        <v>68746.1073987528</v>
      </c>
    </row>
    <row r="9" customFormat="false" ht="15" hidden="false" customHeight="false" outlineLevel="0" collapsed="false">
      <c r="A9" s="0" t="s">
        <v>66</v>
      </c>
      <c r="B9" s="5" t="n">
        <f aca="false">SUMIF(Monthly!$B$2:$B$37,1,Monthly!AA$2:AA$37)</f>
        <v>5078.14316492676</v>
      </c>
      <c r="C9" s="5" t="n">
        <f aca="false">SUMIF(Monthly!$B$2:$B$37,2,Monthly!AA$2:AA$37)</f>
        <v>5637.77206359003</v>
      </c>
      <c r="D9" s="5" t="n">
        <f aca="false">SUMIF(Monthly!$B$2:$B$37,3,Monthly!AA$2:AA$37)</f>
        <v>6259.07399785855</v>
      </c>
    </row>
    <row r="10" customFormat="false" ht="15" hidden="false" customHeight="false" outlineLevel="0" collapsed="false">
      <c r="A10" s="0" t="s">
        <v>67</v>
      </c>
      <c r="B10" s="5" t="n">
        <f aca="false">SUMIF(Monthly!$B$2:$B$37,1,Monthly!AB$2:AB$37)</f>
        <v>11618.0505288942</v>
      </c>
      <c r="C10" s="5" t="n">
        <f aca="false">SUMIF(Monthly!$B$2:$B$37,2,Monthly!AB$2:AB$37)</f>
        <v>43418.9089848942</v>
      </c>
      <c r="D10" s="5" t="n">
        <f aca="false">SUMIF(Monthly!$B$2:$B$37,3,Monthly!AB$2:AB$37)</f>
        <v>78687.0334008943</v>
      </c>
    </row>
    <row r="11" customFormat="false" ht="15" hidden="false" customHeight="false" outlineLevel="0" collapsed="false">
      <c r="A11" s="0" t="s">
        <v>73</v>
      </c>
      <c r="B11" s="5" t="n">
        <f aca="false">12*PMT(Inputs!$B$5/12,Inputs!$B$6*12,-Inputs!$B$4)</f>
        <v>13763.3696711058</v>
      </c>
      <c r="C11" s="5" t="n">
        <f aca="false">12*PMT(Inputs!$B$5/12,Inputs!$B$6*12,-Inputs!$B$4)</f>
        <v>13763.3696711058</v>
      </c>
      <c r="D11" s="5" t="n">
        <f aca="false">12*PMT(Inputs!$B$5/12,Inputs!$B$6*12,-Inputs!$B$4)</f>
        <v>13763.3696711058</v>
      </c>
    </row>
    <row r="12" customFormat="false" ht="15" hidden="false" customHeight="false" outlineLevel="0" collapsed="false">
      <c r="A12" s="0" t="s">
        <v>74</v>
      </c>
      <c r="B12" s="6" t="n">
        <f aca="false">B5/B11</f>
        <v>1.8441283498535</v>
      </c>
      <c r="C12" s="6" t="n">
        <f aca="false">C5/C11</f>
        <v>4.1546714229471</v>
      </c>
      <c r="D12" s="6" t="n">
        <f aca="false">D5/D11</f>
        <v>6.71713434146046</v>
      </c>
    </row>
    <row r="13" customFormat="false" ht="15" hidden="false" customHeight="false" outlineLevel="0" collapsed="false">
      <c r="A13" s="0" t="s">
        <v>75</v>
      </c>
      <c r="B13" s="5" t="n">
        <f aca="false">Monthly!AC13</f>
        <v>26618.0505288942</v>
      </c>
      <c r="C13" s="5" t="n">
        <f aca="false">Monthly!AC25</f>
        <v>70036.9595137885</v>
      </c>
      <c r="D13" s="5" t="n">
        <f aca="false">Monthly!AC37</f>
        <v>148723.992914683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52"/>
  </cols>
  <sheetData>
    <row r="1" customFormat="false" ht="15" hidden="false" customHeight="false" outlineLevel="0" collapsed="false">
      <c r="A1" s="2" t="s">
        <v>76</v>
      </c>
    </row>
    <row r="2" customFormat="false" ht="15" hidden="false" customHeight="false" outlineLevel="0" collapsed="false">
      <c r="A2" s="0" t="s">
        <v>77</v>
      </c>
      <c r="B2" s="7" t="n">
        <f aca="false">Inputs!$B$18+Inputs!$B$21+Inputs!$B$22+Inputs!$B$23+Inputs!$B$24+Inputs!$B$26+Inputs!$B$27+Inputs!$B$28+Inputs!$B$29+PMT(Inputs!$B$5/12,Inputs!$B$6*12,-Inputs!$B$4)</f>
        <v>6836.94747259215</v>
      </c>
    </row>
    <row r="3" customFormat="false" ht="15" hidden="false" customHeight="false" outlineLevel="0" collapsed="false">
      <c r="A3" s="0" t="s">
        <v>78</v>
      </c>
      <c r="B3" s="0" t="n">
        <f aca="false">Inputs!$B$8*(1-Inputs!$B$19-Inputs!$B$20)</f>
        <v>86.545</v>
      </c>
    </row>
    <row r="4" customFormat="false" ht="15" hidden="false" customHeight="false" outlineLevel="0" collapsed="false">
      <c r="A4" s="0" t="s">
        <v>79</v>
      </c>
      <c r="B4" s="7" t="n">
        <f aca="false">B2/B3</f>
        <v>78.9987575549385</v>
      </c>
    </row>
    <row r="5" customFormat="false" ht="15" hidden="false" customHeight="false" outlineLevel="0" collapsed="false">
      <c r="A5" s="0" t="s">
        <v>80</v>
      </c>
      <c r="B5" s="7" t="n">
        <f aca="false">B4/Inputs!$B$11</f>
        <v>3.59085261613357</v>
      </c>
    </row>
    <row r="6" customFormat="false" ht="15" hidden="false" customHeight="false" outlineLevel="0" collapsed="false">
      <c r="A6" s="0" t="s">
        <v>81</v>
      </c>
      <c r="B6" s="4" t="n">
        <f aca="false">B5/Inputs!$B$10</f>
        <v>0.598475436022261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2026-10-06T08:35:18Z</dcterms:created>
  <dc:creator>openpyxl</dc:creator>
  <dc:description/>
  <dc:language>en-US</dc:language>
  <cp:lastModifiedBy/>
  <dcterms:modified xsi:type="dcterms:W3CDTF">2026-10-06T08:35:18Z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